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480" yWindow="240" windowWidth="15450" windowHeight="11580"/>
  </bookViews>
  <sheets>
    <sheet name="Приложение 2 ч.1" sheetId="2" r:id="rId1"/>
    <sheet name="Приложение 2 ч.2" sheetId="3" r:id="rId2"/>
    <sheet name="Приложение 2 ч.3" sheetId="4" r:id="rId3"/>
    <sheet name="Приложение по 126 пп" sheetId="5" r:id="rId4"/>
  </sheets>
  <definedNames>
    <definedName name="_xlnm.Print_Area" localSheetId="0">'Приложение 2 ч.1'!$A$1:$U$60</definedName>
    <definedName name="_xlnm.Print_Area" localSheetId="1">'Приложение 2 ч.2'!$A$1:$T$42</definedName>
    <definedName name="_xlnm.Print_Area" localSheetId="2">'Приложение 2 ч.3'!$A$1:$M$17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</workbook>
</file>

<file path=xl/calcChain.xml><?xml version="1.0" encoding="utf-8"?>
<calcChain xmlns="http://schemas.openxmlformats.org/spreadsheetml/2006/main">
  <c r="P21" i="2" l="1"/>
  <c r="N34" i="5" l="1"/>
  <c r="L34" i="5" s="1"/>
  <c r="N26" i="5"/>
  <c r="M26" i="5" s="1"/>
  <c r="F11" i="3" l="1"/>
  <c r="G11" i="3"/>
  <c r="I11" i="3"/>
  <c r="K11" i="3"/>
  <c r="L11" i="3"/>
  <c r="M11" i="3"/>
  <c r="N11" i="3"/>
  <c r="O11" i="3"/>
  <c r="P11" i="3"/>
  <c r="Q11" i="3"/>
  <c r="R11" i="3"/>
  <c r="S11" i="3"/>
  <c r="E11" i="3"/>
  <c r="H32" i="3"/>
  <c r="H33" i="3"/>
  <c r="H31" i="3"/>
  <c r="J30" i="3"/>
  <c r="H29" i="3"/>
  <c r="J28" i="3"/>
  <c r="H27" i="3"/>
  <c r="J19" i="3"/>
  <c r="J20" i="3"/>
  <c r="J21" i="3"/>
  <c r="J22" i="3"/>
  <c r="J23" i="3"/>
  <c r="J24" i="3"/>
  <c r="J25" i="3"/>
  <c r="J26" i="3"/>
  <c r="J18" i="3"/>
  <c r="J11" i="3" s="1"/>
  <c r="H13" i="3"/>
  <c r="H14" i="3"/>
  <c r="H15" i="3"/>
  <c r="H16" i="3"/>
  <c r="H17" i="3"/>
  <c r="H12" i="3"/>
  <c r="H11" i="3" s="1"/>
  <c r="M21" i="2"/>
  <c r="N21" i="2"/>
  <c r="O21" i="2"/>
  <c r="Q21" i="2"/>
  <c r="K43" i="2"/>
  <c r="K41" i="2" s="1"/>
  <c r="M43" i="2"/>
  <c r="N43" i="2"/>
  <c r="N41" i="2" s="1"/>
  <c r="O43" i="2"/>
  <c r="P43" i="2"/>
  <c r="Q43" i="2"/>
  <c r="K49" i="2"/>
  <c r="L49" i="2"/>
  <c r="M49" i="2"/>
  <c r="M41" i="2" s="1"/>
  <c r="N49" i="2"/>
  <c r="O49" i="2"/>
  <c r="P49" i="2"/>
  <c r="Q49" i="2"/>
  <c r="R49" i="2"/>
  <c r="J49" i="2"/>
  <c r="S39" i="2"/>
  <c r="K26" i="5"/>
  <c r="N32" i="5"/>
  <c r="M32" i="5" s="1"/>
  <c r="K32" i="5"/>
  <c r="N18" i="5"/>
  <c r="N19" i="5"/>
  <c r="K19" i="5" s="1"/>
  <c r="N20" i="5"/>
  <c r="K20" i="5" s="1"/>
  <c r="N21" i="5"/>
  <c r="K21" i="5" s="1"/>
  <c r="N22" i="5"/>
  <c r="N23" i="5"/>
  <c r="L23" i="5" s="1"/>
  <c r="N24" i="5"/>
  <c r="M24" i="5" s="1"/>
  <c r="N25" i="5"/>
  <c r="K25" i="5" s="1"/>
  <c r="N27" i="5"/>
  <c r="K27" i="5" s="1"/>
  <c r="N28" i="5"/>
  <c r="K28" i="5" s="1"/>
  <c r="N29" i="5"/>
  <c r="L29" i="5" s="1"/>
  <c r="N30" i="5"/>
  <c r="K30" i="5" s="1"/>
  <c r="N31" i="5"/>
  <c r="K31" i="5" s="1"/>
  <c r="N33" i="5"/>
  <c r="K33" i="5" s="1"/>
  <c r="K24" i="5"/>
  <c r="K34" i="5"/>
  <c r="L24" i="5"/>
  <c r="L32" i="5"/>
  <c r="M20" i="5"/>
  <c r="M29" i="5"/>
  <c r="N38" i="5"/>
  <c r="K38" i="5" s="1"/>
  <c r="N39" i="5"/>
  <c r="M39" i="5" s="1"/>
  <c r="N40" i="5"/>
  <c r="K40" i="5" s="1"/>
  <c r="N37" i="5"/>
  <c r="P41" i="2" l="1"/>
  <c r="O41" i="2"/>
  <c r="N19" i="2"/>
  <c r="M37" i="5"/>
  <c r="K37" i="5"/>
  <c r="M19" i="2"/>
  <c r="Q41" i="2"/>
  <c r="P19" i="2"/>
  <c r="Q19" i="2"/>
  <c r="O19" i="2"/>
  <c r="K22" i="5"/>
  <c r="M22" i="5"/>
  <c r="L22" i="5"/>
  <c r="K18" i="5"/>
  <c r="M18" i="5"/>
  <c r="L18" i="5"/>
  <c r="M34" i="5"/>
  <c r="L31" i="5"/>
  <c r="L20" i="5"/>
  <c r="K29" i="5"/>
  <c r="M31" i="5"/>
  <c r="M27" i="5"/>
  <c r="L27" i="5"/>
  <c r="M33" i="5"/>
  <c r="M30" i="5"/>
  <c r="L33" i="5"/>
  <c r="L38" i="5"/>
  <c r="M38" i="5"/>
  <c r="L40" i="5"/>
  <c r="L28" i="5"/>
  <c r="L25" i="5"/>
  <c r="M40" i="5"/>
  <c r="K39" i="5"/>
  <c r="L37" i="5"/>
  <c r="M25" i="5"/>
  <c r="M23" i="5"/>
  <c r="M21" i="5"/>
  <c r="M19" i="5"/>
  <c r="M28" i="5"/>
  <c r="L30" i="5"/>
  <c r="L21" i="5"/>
  <c r="L19" i="5"/>
  <c r="K23" i="5"/>
  <c r="L39" i="5"/>
  <c r="L26" i="5"/>
  <c r="K41" i="5" l="1"/>
  <c r="L41" i="5"/>
  <c r="M41" i="5"/>
  <c r="G41" i="5"/>
  <c r="I35" i="5"/>
  <c r="I41" i="5"/>
  <c r="H40" i="5"/>
  <c r="F40" i="5"/>
  <c r="L47" i="2"/>
  <c r="J47" i="2"/>
  <c r="S47" i="2" l="1"/>
  <c r="S46" i="2"/>
  <c r="L46" i="2"/>
  <c r="J46" i="2"/>
  <c r="S45" i="2"/>
  <c r="L45" i="2"/>
  <c r="J45" i="2"/>
  <c r="L44" i="2"/>
  <c r="L43" i="2" s="1"/>
  <c r="L41" i="2" s="1"/>
  <c r="S38" i="2"/>
  <c r="L38" i="2"/>
  <c r="S37" i="2"/>
  <c r="L37" i="2"/>
  <c r="J37" i="2"/>
  <c r="K36" i="2"/>
  <c r="K21" i="2" s="1"/>
  <c r="K19" i="2" s="1"/>
  <c r="S35" i="2"/>
  <c r="L35" i="2"/>
  <c r="S34" i="2"/>
  <c r="L34" i="2"/>
  <c r="S33" i="2"/>
  <c r="L33" i="2"/>
  <c r="J33" i="2"/>
  <c r="S32" i="2"/>
  <c r="L32" i="2"/>
  <c r="S31" i="2"/>
  <c r="L31" i="2"/>
  <c r="J31" i="2"/>
  <c r="S30" i="2"/>
  <c r="L30" i="2"/>
  <c r="J30" i="2"/>
  <c r="S29" i="2"/>
  <c r="L29" i="2"/>
  <c r="S28" i="2"/>
  <c r="L28" i="2"/>
  <c r="S27" i="2"/>
  <c r="L27" i="2"/>
  <c r="L26" i="2"/>
  <c r="S25" i="2"/>
  <c r="L25" i="2"/>
  <c r="S24" i="2"/>
  <c r="L24" i="2"/>
  <c r="S23" i="2"/>
  <c r="L23" i="2"/>
  <c r="L22" i="2"/>
  <c r="N44" i="5"/>
  <c r="M44" i="5"/>
  <c r="L44" i="5"/>
  <c r="K44" i="5"/>
  <c r="J44" i="5"/>
  <c r="I44" i="5"/>
  <c r="I15" i="5" s="1"/>
  <c r="H44" i="5"/>
  <c r="G44" i="5"/>
  <c r="F44" i="5"/>
  <c r="H39" i="5"/>
  <c r="F39" i="5"/>
  <c r="H38" i="5"/>
  <c r="F38" i="5"/>
  <c r="F41" i="5" s="1"/>
  <c r="J41" i="5"/>
  <c r="H37" i="5"/>
  <c r="H41" i="5" s="1"/>
  <c r="H33" i="5"/>
  <c r="H32" i="5"/>
  <c r="F32" i="5"/>
  <c r="G31" i="5"/>
  <c r="G35" i="5" s="1"/>
  <c r="H30" i="5"/>
  <c r="H29" i="5"/>
  <c r="H28" i="5"/>
  <c r="F28" i="5"/>
  <c r="H27" i="5"/>
  <c r="H26" i="5"/>
  <c r="F26" i="5"/>
  <c r="H25" i="5"/>
  <c r="F25" i="5"/>
  <c r="H24" i="5"/>
  <c r="H23" i="5"/>
  <c r="H22" i="5"/>
  <c r="H21" i="5"/>
  <c r="H20" i="5"/>
  <c r="H19" i="5"/>
  <c r="H18" i="5"/>
  <c r="J35" i="5"/>
  <c r="J15" i="5" s="1"/>
  <c r="H17" i="5"/>
  <c r="J43" i="2" l="1"/>
  <c r="J41" i="2" s="1"/>
  <c r="J21" i="2"/>
  <c r="J19" i="2" s="1"/>
  <c r="F35" i="5"/>
  <c r="F15" i="5" s="1"/>
  <c r="G15" i="5"/>
  <c r="H31" i="5"/>
  <c r="H35" i="5" s="1"/>
  <c r="H15" i="5" s="1"/>
  <c r="L36" i="2"/>
  <c r="L21" i="2" s="1"/>
  <c r="L19" i="2" s="1"/>
  <c r="S22" i="2"/>
  <c r="S26" i="2"/>
  <c r="S36" i="2"/>
  <c r="N17" i="5"/>
  <c r="R21" i="2" l="1"/>
  <c r="N35" i="5"/>
  <c r="K17" i="5"/>
  <c r="K35" i="5" s="1"/>
  <c r="K15" i="5" s="1"/>
  <c r="L17" i="5"/>
  <c r="M17" i="5"/>
  <c r="M35" i="5" s="1"/>
  <c r="M15" i="5" s="1"/>
  <c r="N41" i="5"/>
  <c r="L35" i="5" l="1"/>
  <c r="L15" i="5" s="1"/>
  <c r="N15" i="5"/>
  <c r="S44" i="2" l="1"/>
  <c r="R43" i="2"/>
  <c r="R41" i="2" l="1"/>
  <c r="R19" i="2"/>
</calcChain>
</file>

<file path=xl/sharedStrings.xml><?xml version="1.0" encoding="utf-8"?>
<sst xmlns="http://schemas.openxmlformats.org/spreadsheetml/2006/main" count="327" uniqueCount="118">
  <si>
    <t>№ п/п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</si>
  <si>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</si>
  <si>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</si>
  <si>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</si>
  <si>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</si>
  <si>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</si>
  <si>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</si>
  <si>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</si>
  <si>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Стоимость капитального ремонта</t>
  </si>
  <si>
    <t>Удельная стоимость капитального ремонта 1 кв. м общей площади помещений МКД</t>
  </si>
  <si>
    <t>Предельная стоимость капитального ремонта 1 кв. м общей площади помещений МКД</t>
  </si>
  <si>
    <t>Плановая дата завершения работ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</si>
  <si>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</si>
  <si>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</si>
  <si>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</si>
  <si>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</si>
  <si>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в том числе: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</si>
  <si>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</si>
  <si>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</si>
  <si>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</si>
  <si>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кв.м</t>
  </si>
  <si>
    <t>чел.</t>
  </si>
  <si>
    <t>руб.</t>
  </si>
  <si>
    <t>руб./кв.м</t>
  </si>
  <si>
    <t>за счет средств Фонда*</t>
  </si>
  <si>
    <t>Адрес многоквартирного дома (далее - МКД)</t>
  </si>
  <si>
    <t>панели</t>
  </si>
  <si>
    <t>кирпич</t>
  </si>
  <si>
    <t>х</t>
  </si>
  <si>
    <t>дерево</t>
  </si>
  <si>
    <t>керамз. блоки</t>
  </si>
  <si>
    <t>шлакоблок</t>
  </si>
  <si>
    <t>Согласовано:</t>
  </si>
  <si>
    <t>Заместитель начальника Главного управления</t>
  </si>
  <si>
    <t>На счете некоммерческой организации "Фонд капитального ремонта многоквартирных домов Тверской области" (далее - региональный оператор)</t>
  </si>
  <si>
    <t>На специальном счете, владельцем которого является региональный оператор</t>
  </si>
  <si>
    <t>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</t>
  </si>
  <si>
    <t xml:space="preserve">и жилищной политики администрации города Твери                                                                                       </t>
  </si>
  <si>
    <t>Итого по муниципальному образованию городТверь</t>
  </si>
  <si>
    <t>бульвар Шмидта, дом 49, корпус 1</t>
  </si>
  <si>
    <t>улица Константина Заслонова, дом 1</t>
  </si>
  <si>
    <t>улица Евгения Пичугина, дом 46</t>
  </si>
  <si>
    <t>бульвар Шмидта,  дом 49 корпус 2</t>
  </si>
  <si>
    <t>проезд Зелёный, дом 43, корпус 11</t>
  </si>
  <si>
    <t>улица Можайского,  дом 61Б</t>
  </si>
  <si>
    <t>поселок Литвинки, дом 3</t>
  </si>
  <si>
    <t>улица Алексея Томского,  дом 14</t>
  </si>
  <si>
    <t>поселок Литвинки, дом 4</t>
  </si>
  <si>
    <t>поселок Литвинки,  дом 5</t>
  </si>
  <si>
    <t>поселок Литвинки, дом 2</t>
  </si>
  <si>
    <t>Петербургское шоссе,  дом 23</t>
  </si>
  <si>
    <t>улица Железнодорожников, дом 25, корпус 1</t>
  </si>
  <si>
    <t>улица Мусоргского, дом 24</t>
  </si>
  <si>
    <t>улица Богданова,  дом 10, корпус 2</t>
  </si>
  <si>
    <t>улица Учительская, дом 39</t>
  </si>
  <si>
    <t>улица Громова, дом 36, корпус 1</t>
  </si>
  <si>
    <t>бульвар Цанова, дом 29, корпус 1</t>
  </si>
  <si>
    <t>улица Карпинского,  дом 12/32</t>
  </si>
  <si>
    <t>улица Хромова,  дом 7, корпус 2</t>
  </si>
  <si>
    <t>Стоимость капитального ремонта ВСЕГО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</si>
  <si>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</si>
  <si>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</si>
  <si>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</si>
  <si>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</si>
  <si>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</si>
  <si>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</si>
  <si>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устройство выходов на кровлю</t>
  </si>
  <si>
    <t>установка коллективных (общедомовых) приборов учета и узлов управления</t>
  </si>
  <si>
    <t>другие виды</t>
  </si>
  <si>
    <t>ед.</t>
  </si>
  <si>
    <t>кв. м</t>
  </si>
  <si>
    <t>куб. м</t>
  </si>
  <si>
    <t xml:space="preserve">руб. </t>
  </si>
  <si>
    <t>кв.м.</t>
  </si>
  <si>
    <t>Количество жителей, зарегистрированных в МКД</t>
  </si>
  <si>
    <t>Расчетный счет</t>
  </si>
  <si>
    <t>Номер и дата протокола о принятии решения о выборе способа формирования Фонда капитального ремонта или номер и дата правового акта органа местного самоуправления</t>
  </si>
  <si>
    <t>Начисление взносов на капитальный ремонт на момент подачи заявки</t>
  </si>
  <si>
    <t>Оплачено взносов на капитальный ремонт</t>
  </si>
  <si>
    <t>Процент собираемости</t>
  </si>
  <si>
    <t>0</t>
  </si>
  <si>
    <t>Пост. № 638 от 27.05.2014</t>
  </si>
  <si>
    <t>Протокол б/н от 02.03.14</t>
  </si>
  <si>
    <t>Протокол 1/2014 от 26.02.14</t>
  </si>
  <si>
    <t>Протокол б/н от 01.04.14</t>
  </si>
  <si>
    <t>Протокол б/н от 14.03.14</t>
  </si>
  <si>
    <t>"Государственная жилищная инспекция" Тверской области _________________ А.М. Латышев</t>
  </si>
  <si>
    <t>Виды, установленные нормативным правовым актом субъекта РФ</t>
  </si>
  <si>
    <t>12.2016</t>
  </si>
  <si>
    <t>Генеральный директор Фонда капитального</t>
  </si>
  <si>
    <t>ремонта многоквартирных домов Тверской области _________________ С.Н. Бойков</t>
  </si>
  <si>
    <t>ремонта многоквартирных домов Тверской области _________________С.Н. Бойков</t>
  </si>
  <si>
    <t xml:space="preserve">Приложение к постановлению администрации города Твери </t>
  </si>
  <si>
    <t>«Приложение 2 к постановлению администрации города Твери</t>
  </si>
  <si>
    <t>улица Софьи Перовской, дом 14</t>
  </si>
  <si>
    <t>улица Можайского,  дом 61А</t>
  </si>
  <si>
    <t>Протокол б/н от 30.01.14</t>
  </si>
  <si>
    <t xml:space="preserve">Начальник департамента жилищно-коммунального хозяйства                                                                                       </t>
  </si>
  <si>
    <t>В.Д. Якубёнок</t>
  </si>
  <si>
    <t>от "10" октября 2014 № 1250</t>
  </si>
  <si>
    <t xml:space="preserve">Краткосрочный план реализации региональной программы по проведению капитального ремонта общего имущества в многоквартирных домах на территории муниципального образования город Тверь на 2015-2016 годы </t>
  </si>
  <si>
    <t>Формирование фонда капитального ремонта многоквартирного дома на счете некоммерческой организации - Фонда капитального ремонта многоквартирных домов тверской области (далее - региональный оператор)</t>
  </si>
  <si>
    <t xml:space="preserve">Формирование фонда капитального ремонта многоквартирного дома на специальном счете </t>
  </si>
  <si>
    <t>Всего по МО город Тверь</t>
  </si>
  <si>
    <t>Формирование фонда капитального ремонта многоквартирного дома на специальном счете, владельцем которого является региональный оператор</t>
  </si>
  <si>
    <t>Итого по МО город Тверь</t>
  </si>
  <si>
    <t>Формирование фонда капитального ремонта многоквартирного дома на специальном счете, владельцем которого является товарищество собственников жилья, жилищно-строительный кооператив, жилищный кооператив, иной специализированный потребительский кооператив, управляющая организация</t>
  </si>
  <si>
    <t>Итого  по МО город Тверь:</t>
  </si>
  <si>
    <t>Количество МКД</t>
  </si>
  <si>
    <t>Итого:</t>
  </si>
  <si>
    <t>Итого по муниципальному образованию (далее - МО) город Тверь</t>
  </si>
  <si>
    <t>Виды, установленные ч. 1 ст. 166 Жилищного кодекса РФ</t>
  </si>
  <si>
    <t>Подраздел 1.1. Перечень многоквартирных домов, которые подлежат капитальному ремонту</t>
  </si>
  <si>
    <t>Подраздел 1.2. Реестр многоквартирных домов, которые подлежат капитальному ремонту, по видам ремонта</t>
  </si>
  <si>
    <t>Подраздел 1.3. Планируемые показатели выполнения работ по капитальному ремонту многоквартирных домов</t>
  </si>
  <si>
    <t xml:space="preserve"> Подраздел 1.4. Перечень многоквартирных домов на территории муниципального образования город Тверь, которые включены в краткосрочный план по способу формирования фонда капитального ремнта общего имущества в многоквартирном доме</t>
  </si>
  <si>
    <r>
      <rPr>
        <sz val="11"/>
        <color theme="1"/>
        <rFont val="Calibri"/>
        <family val="2"/>
        <charset val="204"/>
      </rPr>
      <t>»</t>
    </r>
    <r>
      <rPr>
        <sz val="6.6"/>
        <color theme="1"/>
        <rFont val="Calibri"/>
        <family val="2"/>
        <charset val="204"/>
      </rPr>
      <t>.</t>
    </r>
  </si>
  <si>
    <t>от "26" октября 2017 № 1420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</si>
</sst>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6.6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164" fontId="2" fillId="0" borderId="0" applyFont="0" applyFill="0" applyBorder="0" applyAlignment="0" applyProtection="0"/>
  </cellStyleXfs>
  <cellXfs count="187">
    <xf numFmtId="0" fontId="0" fillId="0" borderId="0" xfId="0"/>
    <xf numFmtId="2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/>
    </xf>
    <xf numFmtId="0" fontId="8" fillId="0" borderId="0" xfId="0" applyFont="1" applyBorder="1"/>
    <xf numFmtId="0" fontId="8" fillId="0" borderId="0" xfId="0" applyFont="1" applyAlignment="1"/>
    <xf numFmtId="4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3" fillId="0" borderId="1" xfId="8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3" fillId="0" borderId="0" xfId="0" applyFont="1" applyBorder="1" applyAlignment="1"/>
    <xf numFmtId="0" fontId="13" fillId="0" borderId="0" xfId="0" applyFont="1" applyAlignment="1"/>
    <xf numFmtId="0" fontId="13" fillId="0" borderId="0" xfId="0" applyFont="1" applyBorder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/>
    <xf numFmtId="0" fontId="0" fillId="0" borderId="0" xfId="0" applyAlignment="1"/>
    <xf numFmtId="0" fontId="9" fillId="0" borderId="0" xfId="0" applyFont="1" applyBorder="1" applyAlignment="1">
      <alignment horizontal="center" vertical="top" wrapText="1"/>
    </xf>
    <xf numFmtId="4" fontId="0" fillId="0" borderId="0" xfId="0" applyNumberFormat="1"/>
    <xf numFmtId="0" fontId="4" fillId="0" borderId="0" xfId="0" applyFont="1" applyBorder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0" fontId="0" fillId="0" borderId="0" xfId="0" applyFont="1"/>
    <xf numFmtId="0" fontId="4" fillId="0" borderId="0" xfId="0" applyFont="1" applyBorder="1" applyAlignment="1"/>
    <xf numFmtId="0" fontId="4" fillId="0" borderId="0" xfId="0" applyFont="1" applyAlignment="1"/>
    <xf numFmtId="0" fontId="1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6" fillId="0" borderId="1" xfId="8" applyFont="1" applyBorder="1" applyAlignment="1">
      <alignment horizontal="center"/>
    </xf>
    <xf numFmtId="0" fontId="6" fillId="0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/>
    </xf>
    <xf numFmtId="1" fontId="3" fillId="0" borderId="1" xfId="8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right" vertical="top" wrapText="1"/>
    </xf>
    <xf numFmtId="0" fontId="0" fillId="0" borderId="0" xfId="0" applyAlignment="1"/>
    <xf numFmtId="0" fontId="0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16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2" fillId="0" borderId="0" xfId="0" applyFont="1"/>
    <xf numFmtId="0" fontId="22" fillId="2" borderId="0" xfId="0" applyFont="1" applyFill="1"/>
    <xf numFmtId="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3" fillId="0" borderId="1" xfId="0" applyFont="1" applyBorder="1"/>
    <xf numFmtId="0" fontId="6" fillId="0" borderId="1" xfId="0" applyNumberFormat="1" applyFont="1" applyBorder="1" applyAlignment="1">
      <alignment horizontal="center"/>
    </xf>
    <xf numFmtId="0" fontId="23" fillId="2" borderId="1" xfId="0" applyFont="1" applyFill="1" applyBorder="1"/>
    <xf numFmtId="0" fontId="6" fillId="2" borderId="1" xfId="0" applyNumberFormat="1" applyFont="1" applyFill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/>
    <xf numFmtId="4" fontId="3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/>
    </xf>
    <xf numFmtId="1" fontId="3" fillId="0" borderId="6" xfId="8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164" fontId="6" fillId="0" borderId="0" xfId="8" applyFont="1" applyBorder="1" applyAlignment="1">
      <alignment horizontal="center"/>
    </xf>
    <xf numFmtId="0" fontId="0" fillId="0" borderId="8" xfId="0" applyBorder="1"/>
    <xf numFmtId="164" fontId="6" fillId="0" borderId="8" xfId="8" applyFont="1" applyBorder="1" applyAlignment="1">
      <alignment horizontal="center"/>
    </xf>
    <xf numFmtId="0" fontId="0" fillId="3" borderId="8" xfId="0" applyFill="1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/>
    <xf numFmtId="0" fontId="0" fillId="0" borderId="9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5" fillId="0" borderId="0" xfId="0" applyFont="1"/>
    <xf numFmtId="0" fontId="3" fillId="0" borderId="6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4" fillId="0" borderId="1" xfId="0" applyFont="1" applyFill="1" applyBorder="1" applyAlignment="1">
      <alignment horizontal="center" vertical="center" textRotation="90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0" fontId="0" fillId="0" borderId="7" xfId="0" applyBorder="1" applyAlignment="1"/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7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5"/>
    <cellStyle name="Обычный 6" xfId="6"/>
    <cellStyle name="Обычный 7" xfId="7"/>
    <cellStyle name="Финансовый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C5:X60"/>
  <sheetViews>
    <sheetView tabSelected="1" view="pageBreakPreview" topLeftCell="C1" zoomScale="75" zoomScaleNormal="55" zoomScaleSheetLayoutView="100" workbookViewId="0">
      <selection activeCell="Q6" sqref="Q6:U6"/>
    </sheetView>
  </sheetViews>
  <sheetFormatPr defaultRowHeight="15" x14ac:dyDescent="0.25"/>
  <cols>
    <col min="3" max="3" width="4.5703125" customWidth="1"/>
    <col min="4" max="4" width="38.42578125" customWidth="1"/>
    <col min="5" max="5" width="11.140625" customWidth="1"/>
    <col min="6" max="6" width="10.5703125" customWidth="1"/>
    <col min="7" max="7" width="12.140625" customWidth="1"/>
    <col min="8" max="9" width="9.28515625" customWidth="1"/>
    <col min="10" max="10" width="14.42578125" customWidth="1"/>
    <col min="11" max="11" width="14.85546875" customWidth="1"/>
    <col min="12" max="13" width="13" customWidth="1"/>
    <col min="14" max="14" width="16.140625" customWidth="1"/>
    <col min="15" max="15" width="15.140625" customWidth="1"/>
    <col min="16" max="16" width="15.7109375" customWidth="1"/>
    <col min="17" max="17" width="15.28515625" customWidth="1"/>
    <col min="18" max="18" width="15.42578125" customWidth="1"/>
    <col min="19" max="19" width="11.85546875" customWidth="1"/>
    <col min="20" max="20" width="12.7109375" customWidth="1"/>
    <col min="21" max="21" width="9.140625" customWidth="1"/>
  </cols>
  <sheetData>
    <row r="5" spans="3:23" x14ac:dyDescent="0.25">
      <c r="Q5" s="146" t="s">
        <v>92</v>
      </c>
      <c r="R5" s="147"/>
      <c r="S5" s="147"/>
      <c r="T5" s="147"/>
      <c r="U5" s="147"/>
    </row>
    <row r="6" spans="3:23" x14ac:dyDescent="0.25">
      <c r="L6" s="57"/>
      <c r="Q6" s="146" t="s">
        <v>117</v>
      </c>
      <c r="R6" s="147"/>
      <c r="S6" s="147"/>
      <c r="T6" s="147"/>
      <c r="U6" s="147"/>
    </row>
    <row r="8" spans="3:23" ht="15" customHeight="1" x14ac:dyDescent="0.25"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1"/>
      <c r="O8" s="31"/>
      <c r="P8" s="31"/>
      <c r="Q8" s="146" t="s">
        <v>93</v>
      </c>
      <c r="R8" s="147"/>
      <c r="S8" s="147"/>
      <c r="T8" s="147"/>
      <c r="U8" s="147"/>
    </row>
    <row r="9" spans="3:23" ht="15" customHeight="1" x14ac:dyDescent="0.3">
      <c r="C9" s="9"/>
      <c r="D9" s="9"/>
      <c r="E9" s="9"/>
      <c r="F9" s="9"/>
      <c r="G9" s="9"/>
      <c r="H9" s="9"/>
      <c r="I9" s="9"/>
      <c r="J9" s="9"/>
      <c r="K9" s="10"/>
      <c r="L9" s="10"/>
      <c r="M9" s="10"/>
      <c r="N9" s="32"/>
      <c r="O9" s="32"/>
      <c r="P9" s="32"/>
      <c r="Q9" s="146" t="s">
        <v>99</v>
      </c>
      <c r="R9" s="147"/>
      <c r="S9" s="147"/>
      <c r="T9" s="147"/>
      <c r="U9" s="147"/>
    </row>
    <row r="10" spans="3:23" ht="15" customHeight="1" x14ac:dyDescent="0.3"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32"/>
      <c r="O10" s="32"/>
      <c r="P10" s="32"/>
      <c r="Q10" s="79"/>
      <c r="R10" s="79"/>
      <c r="S10" s="79"/>
      <c r="T10" s="79"/>
      <c r="U10" s="79"/>
    </row>
    <row r="11" spans="3:23" ht="35.25" customHeight="1" x14ac:dyDescent="0.3">
      <c r="C11" s="9"/>
      <c r="D11" s="9"/>
      <c r="E11" s="149" t="s">
        <v>100</v>
      </c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79"/>
      <c r="T11" s="79"/>
      <c r="U11" s="79"/>
      <c r="V11" s="11"/>
      <c r="W11" s="11"/>
    </row>
    <row r="12" spans="3:23" ht="18.75" x14ac:dyDescent="0.3">
      <c r="C12" s="9"/>
      <c r="D12" s="82"/>
      <c r="E12" s="9"/>
      <c r="F12" s="9"/>
      <c r="G12" s="9"/>
      <c r="H12" s="9"/>
      <c r="I12" s="9"/>
      <c r="J12" s="9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</row>
    <row r="13" spans="3:23" ht="21" customHeight="1" x14ac:dyDescent="0.25">
      <c r="C13" s="83"/>
      <c r="D13" s="83"/>
      <c r="E13" s="151" t="s">
        <v>112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83"/>
      <c r="T13" s="83"/>
      <c r="U13" s="83"/>
    </row>
    <row r="14" spans="3:23" ht="24" customHeight="1" x14ac:dyDescent="0.25">
      <c r="C14" s="143" t="s">
        <v>0</v>
      </c>
      <c r="D14" s="143" t="s">
        <v>25</v>
      </c>
      <c r="E14" s="144" t="s">
        <v>1</v>
      </c>
      <c r="F14" s="144"/>
      <c r="G14" s="145" t="s">
        <v>2</v>
      </c>
      <c r="H14" s="145" t="s">
        <v>3</v>
      </c>
      <c r="I14" s="145" t="s">
        <v>4</v>
      </c>
      <c r="J14" s="142" t="s">
        <v>5</v>
      </c>
      <c r="K14" s="143" t="s">
        <v>6</v>
      </c>
      <c r="L14" s="143"/>
      <c r="M14" s="142" t="s">
        <v>7</v>
      </c>
      <c r="N14" s="143" t="s">
        <v>8</v>
      </c>
      <c r="O14" s="143"/>
      <c r="P14" s="143"/>
      <c r="Q14" s="143"/>
      <c r="R14" s="143"/>
      <c r="S14" s="142" t="s">
        <v>9</v>
      </c>
      <c r="T14" s="148" t="s">
        <v>10</v>
      </c>
      <c r="U14" s="142" t="s">
        <v>11</v>
      </c>
    </row>
    <row r="15" spans="3:23" ht="15" customHeight="1" x14ac:dyDescent="0.25">
      <c r="C15" s="143"/>
      <c r="D15" s="143"/>
      <c r="E15" s="142" t="s">
        <v>12</v>
      </c>
      <c r="F15" s="142" t="s">
        <v>13</v>
      </c>
      <c r="G15" s="145"/>
      <c r="H15" s="145"/>
      <c r="I15" s="145"/>
      <c r="J15" s="142"/>
      <c r="K15" s="142" t="s">
        <v>14</v>
      </c>
      <c r="L15" s="142" t="s">
        <v>15</v>
      </c>
      <c r="M15" s="142"/>
      <c r="N15" s="142" t="s">
        <v>14</v>
      </c>
      <c r="O15" s="143" t="s">
        <v>16</v>
      </c>
      <c r="P15" s="143"/>
      <c r="Q15" s="143"/>
      <c r="R15" s="143"/>
      <c r="S15" s="142"/>
      <c r="T15" s="148"/>
      <c r="U15" s="142"/>
    </row>
    <row r="16" spans="3:23" ht="128.25" customHeight="1" x14ac:dyDescent="0.25">
      <c r="C16" s="143"/>
      <c r="D16" s="143"/>
      <c r="E16" s="142"/>
      <c r="F16" s="142"/>
      <c r="G16" s="145"/>
      <c r="H16" s="145"/>
      <c r="I16" s="145"/>
      <c r="J16" s="142"/>
      <c r="K16" s="142"/>
      <c r="L16" s="142"/>
      <c r="M16" s="142"/>
      <c r="N16" s="142"/>
      <c r="O16" s="84" t="s">
        <v>24</v>
      </c>
      <c r="P16" s="84" t="s">
        <v>17</v>
      </c>
      <c r="Q16" s="84" t="s">
        <v>18</v>
      </c>
      <c r="R16" s="84" t="s">
        <v>19</v>
      </c>
      <c r="S16" s="142"/>
      <c r="T16" s="148"/>
      <c r="U16" s="142"/>
    </row>
    <row r="17" spans="3:21" x14ac:dyDescent="0.25">
      <c r="C17" s="143"/>
      <c r="D17" s="143"/>
      <c r="E17" s="142"/>
      <c r="F17" s="142"/>
      <c r="G17" s="145"/>
      <c r="H17" s="145"/>
      <c r="I17" s="145"/>
      <c r="J17" s="85" t="s">
        <v>20</v>
      </c>
      <c r="K17" s="85" t="s">
        <v>20</v>
      </c>
      <c r="L17" s="85" t="s">
        <v>20</v>
      </c>
      <c r="M17" s="85" t="s">
        <v>21</v>
      </c>
      <c r="N17" s="85" t="s">
        <v>22</v>
      </c>
      <c r="O17" s="85" t="s">
        <v>22</v>
      </c>
      <c r="P17" s="85" t="s">
        <v>22</v>
      </c>
      <c r="Q17" s="85" t="s">
        <v>22</v>
      </c>
      <c r="R17" s="85" t="s">
        <v>22</v>
      </c>
      <c r="S17" s="85" t="s">
        <v>23</v>
      </c>
      <c r="T17" s="85" t="s">
        <v>23</v>
      </c>
      <c r="U17" s="142"/>
    </row>
    <row r="18" spans="3:21" x14ac:dyDescent="0.25">
      <c r="C18" s="86">
        <v>1</v>
      </c>
      <c r="D18" s="86">
        <v>2</v>
      </c>
      <c r="E18" s="86">
        <v>3</v>
      </c>
      <c r="F18" s="86">
        <v>4</v>
      </c>
      <c r="G18" s="86">
        <v>5</v>
      </c>
      <c r="H18" s="86">
        <v>6</v>
      </c>
      <c r="I18" s="86">
        <v>7</v>
      </c>
      <c r="J18" s="86">
        <v>8</v>
      </c>
      <c r="K18" s="86">
        <v>9</v>
      </c>
      <c r="L18" s="86">
        <v>10</v>
      </c>
      <c r="M18" s="86">
        <v>11</v>
      </c>
      <c r="N18" s="86">
        <v>12</v>
      </c>
      <c r="O18" s="86">
        <v>13</v>
      </c>
      <c r="P18" s="86">
        <v>14</v>
      </c>
      <c r="Q18" s="86">
        <v>15</v>
      </c>
      <c r="R18" s="86">
        <v>16</v>
      </c>
      <c r="S18" s="86">
        <v>17</v>
      </c>
      <c r="T18" s="86">
        <v>18</v>
      </c>
      <c r="U18" s="86">
        <v>19</v>
      </c>
    </row>
    <row r="19" spans="3:21" ht="39.75" customHeight="1" x14ac:dyDescent="0.25">
      <c r="C19" s="133" t="s">
        <v>110</v>
      </c>
      <c r="D19" s="134"/>
      <c r="E19" s="101" t="s">
        <v>28</v>
      </c>
      <c r="F19" s="101" t="s">
        <v>28</v>
      </c>
      <c r="G19" s="101" t="s">
        <v>28</v>
      </c>
      <c r="H19" s="101" t="s">
        <v>28</v>
      </c>
      <c r="I19" s="101" t="s">
        <v>28</v>
      </c>
      <c r="J19" s="16">
        <f>J21+J43+J49</f>
        <v>82088.100000000006</v>
      </c>
      <c r="K19" s="16">
        <f t="shared" ref="K19:R19" si="0">K21+K43+K49</f>
        <v>76487.500000000015</v>
      </c>
      <c r="L19" s="16">
        <f t="shared" si="0"/>
        <v>67914.7</v>
      </c>
      <c r="M19" s="16">
        <f t="shared" si="0"/>
        <v>3244</v>
      </c>
      <c r="N19" s="16">
        <f t="shared" si="0"/>
        <v>53673424.520000003</v>
      </c>
      <c r="O19" s="16">
        <f t="shared" si="0"/>
        <v>8645446.8800000008</v>
      </c>
      <c r="P19" s="16">
        <f t="shared" si="0"/>
        <v>24877900.59</v>
      </c>
      <c r="Q19" s="16">
        <f t="shared" si="0"/>
        <v>12099063.369999999</v>
      </c>
      <c r="R19" s="16">
        <f t="shared" si="0"/>
        <v>8051013.6800000016</v>
      </c>
      <c r="S19" s="101" t="s">
        <v>28</v>
      </c>
      <c r="T19" s="101" t="s">
        <v>28</v>
      </c>
      <c r="U19" s="101" t="s">
        <v>28</v>
      </c>
    </row>
    <row r="20" spans="3:21" ht="39.75" customHeight="1" x14ac:dyDescent="0.25">
      <c r="C20" s="135" t="s">
        <v>101</v>
      </c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7"/>
    </row>
    <row r="21" spans="3:21" ht="30.75" customHeight="1" x14ac:dyDescent="0.25">
      <c r="C21" s="138" t="s">
        <v>105</v>
      </c>
      <c r="D21" s="139"/>
      <c r="E21" s="140"/>
      <c r="F21" s="140"/>
      <c r="G21" s="140"/>
      <c r="H21" s="140"/>
      <c r="I21" s="141"/>
      <c r="J21" s="16">
        <f>SUM(J22:J39)</f>
        <v>69438.600000000006</v>
      </c>
      <c r="K21" s="16">
        <f t="shared" ref="K21:R21" si="1">SUM(K22:K39)</f>
        <v>64546.400000000009</v>
      </c>
      <c r="L21" s="16">
        <f t="shared" si="1"/>
        <v>56569.999999999993</v>
      </c>
      <c r="M21" s="16">
        <f t="shared" si="1"/>
        <v>2775</v>
      </c>
      <c r="N21" s="16">
        <f t="shared" si="1"/>
        <v>45375095.170000002</v>
      </c>
      <c r="O21" s="16">
        <f t="shared" si="1"/>
        <v>7308793.4800000004</v>
      </c>
      <c r="P21" s="16">
        <f>SUM(P22:P39)</f>
        <v>21031583.449999999</v>
      </c>
      <c r="Q21" s="16">
        <f t="shared" si="1"/>
        <v>10228453.959999999</v>
      </c>
      <c r="R21" s="16">
        <f t="shared" si="1"/>
        <v>6806264.2800000012</v>
      </c>
      <c r="S21" s="86" t="s">
        <v>28</v>
      </c>
      <c r="T21" s="86" t="s">
        <v>28</v>
      </c>
      <c r="U21" s="86" t="s">
        <v>28</v>
      </c>
    </row>
    <row r="22" spans="3:21" s="91" customFormat="1" x14ac:dyDescent="0.25">
      <c r="C22" s="3">
        <v>1</v>
      </c>
      <c r="D22" s="45" t="s">
        <v>39</v>
      </c>
      <c r="E22" s="3">
        <v>1982</v>
      </c>
      <c r="F22" s="2"/>
      <c r="G22" s="2" t="s">
        <v>26</v>
      </c>
      <c r="H22" s="2">
        <v>9</v>
      </c>
      <c r="I22" s="2">
        <v>6</v>
      </c>
      <c r="J22" s="6">
        <v>12728.2</v>
      </c>
      <c r="K22" s="2">
        <v>11595.8</v>
      </c>
      <c r="L22" s="2">
        <f>K22-1701.1</f>
        <v>9894.6999999999989</v>
      </c>
      <c r="M22" s="3">
        <v>490</v>
      </c>
      <c r="N22" s="30">
        <v>9133500</v>
      </c>
      <c r="O22" s="93">
        <v>1471178.51</v>
      </c>
      <c r="P22" s="93">
        <v>4233422.92</v>
      </c>
      <c r="Q22" s="93">
        <v>2058873.57</v>
      </c>
      <c r="R22" s="93">
        <v>1370025</v>
      </c>
      <c r="S22" s="30">
        <f t="shared" ref="S22:S47" si="2">N22/K22</f>
        <v>787.65587540316324</v>
      </c>
      <c r="T22" s="30">
        <v>7507</v>
      </c>
      <c r="U22" s="94" t="s">
        <v>88</v>
      </c>
    </row>
    <row r="23" spans="3:21" s="91" customFormat="1" x14ac:dyDescent="0.25">
      <c r="C23" s="3">
        <v>2</v>
      </c>
      <c r="D23" s="45" t="s">
        <v>40</v>
      </c>
      <c r="E23" s="3">
        <v>1983</v>
      </c>
      <c r="F23" s="2"/>
      <c r="G23" s="2" t="s">
        <v>27</v>
      </c>
      <c r="H23" s="2">
        <v>9</v>
      </c>
      <c r="I23" s="2">
        <v>2</v>
      </c>
      <c r="J23" s="6">
        <v>6546</v>
      </c>
      <c r="K23" s="2">
        <v>6285.7</v>
      </c>
      <c r="L23" s="2">
        <f>K23-605.3</f>
        <v>5680.4</v>
      </c>
      <c r="M23" s="3">
        <v>342</v>
      </c>
      <c r="N23" s="30">
        <v>3044500</v>
      </c>
      <c r="O23" s="93">
        <v>490392.84</v>
      </c>
      <c r="P23" s="93">
        <v>1411140.96</v>
      </c>
      <c r="Q23" s="93">
        <v>686291.2</v>
      </c>
      <c r="R23" s="93">
        <v>456675</v>
      </c>
      <c r="S23" s="30">
        <f t="shared" si="2"/>
        <v>484.35337353039438</v>
      </c>
      <c r="T23" s="30">
        <v>7507</v>
      </c>
      <c r="U23" s="94" t="s">
        <v>88</v>
      </c>
    </row>
    <row r="24" spans="3:21" s="91" customFormat="1" x14ac:dyDescent="0.25">
      <c r="C24" s="3">
        <v>3</v>
      </c>
      <c r="D24" s="45" t="s">
        <v>41</v>
      </c>
      <c r="E24" s="3">
        <v>1990</v>
      </c>
      <c r="F24" s="2"/>
      <c r="G24" s="2" t="s">
        <v>26</v>
      </c>
      <c r="H24" s="2">
        <v>12</v>
      </c>
      <c r="I24" s="2">
        <v>1</v>
      </c>
      <c r="J24" s="6">
        <v>3776.8</v>
      </c>
      <c r="K24" s="2">
        <v>3612.4</v>
      </c>
      <c r="L24" s="2">
        <f>K24-113.1</f>
        <v>3499.3</v>
      </c>
      <c r="M24" s="3">
        <v>142</v>
      </c>
      <c r="N24" s="30">
        <v>3101499.96</v>
      </c>
      <c r="O24" s="93">
        <v>499574.11</v>
      </c>
      <c r="P24" s="93">
        <v>1437560.74</v>
      </c>
      <c r="Q24" s="93">
        <v>699140.12</v>
      </c>
      <c r="R24" s="93">
        <v>465224.99</v>
      </c>
      <c r="S24" s="30">
        <f t="shared" si="2"/>
        <v>858.57046838666815</v>
      </c>
      <c r="T24" s="30">
        <v>7507</v>
      </c>
      <c r="U24" s="94" t="s">
        <v>88</v>
      </c>
    </row>
    <row r="25" spans="3:21" s="91" customFormat="1" x14ac:dyDescent="0.25">
      <c r="C25" s="3">
        <v>4</v>
      </c>
      <c r="D25" s="45" t="s">
        <v>42</v>
      </c>
      <c r="E25" s="67">
        <v>1980</v>
      </c>
      <c r="F25" s="95"/>
      <c r="G25" s="67" t="s">
        <v>26</v>
      </c>
      <c r="H25" s="96">
        <v>9</v>
      </c>
      <c r="I25" s="96">
        <v>6</v>
      </c>
      <c r="J25" s="66">
        <v>12984.8</v>
      </c>
      <c r="K25" s="67">
        <v>11610</v>
      </c>
      <c r="L25" s="67">
        <f>K25-1380</f>
        <v>10230</v>
      </c>
      <c r="M25" s="67">
        <v>513</v>
      </c>
      <c r="N25" s="30">
        <v>9133500</v>
      </c>
      <c r="O25" s="93">
        <v>1471178.51</v>
      </c>
      <c r="P25" s="93">
        <v>4233422.92</v>
      </c>
      <c r="Q25" s="93">
        <v>2058873.57</v>
      </c>
      <c r="R25" s="93">
        <v>1370025</v>
      </c>
      <c r="S25" s="30">
        <f t="shared" si="2"/>
        <v>786.69250645994828</v>
      </c>
      <c r="T25" s="30">
        <v>7507</v>
      </c>
      <c r="U25" s="94" t="s">
        <v>88</v>
      </c>
    </row>
    <row r="26" spans="3:21" s="91" customFormat="1" x14ac:dyDescent="0.25">
      <c r="C26" s="3">
        <v>5</v>
      </c>
      <c r="D26" s="45" t="s">
        <v>43</v>
      </c>
      <c r="E26" s="67">
        <v>1981</v>
      </c>
      <c r="F26" s="95"/>
      <c r="G26" s="67" t="s">
        <v>26</v>
      </c>
      <c r="H26" s="96">
        <v>9</v>
      </c>
      <c r="I26" s="96">
        <v>1</v>
      </c>
      <c r="J26" s="66">
        <v>2164</v>
      </c>
      <c r="K26" s="67">
        <v>1939.9</v>
      </c>
      <c r="L26" s="67">
        <f>K26-480.8</f>
        <v>1459.1000000000001</v>
      </c>
      <c r="M26" s="67">
        <v>96</v>
      </c>
      <c r="N26" s="30">
        <v>1522249.99</v>
      </c>
      <c r="O26" s="93">
        <v>245196.42</v>
      </c>
      <c r="P26" s="93">
        <v>705570.48</v>
      </c>
      <c r="Q26" s="93">
        <v>343145.59</v>
      </c>
      <c r="R26" s="93">
        <v>228337.5</v>
      </c>
      <c r="S26" s="30">
        <f t="shared" si="2"/>
        <v>784.70539203051703</v>
      </c>
      <c r="T26" s="30">
        <v>7507</v>
      </c>
      <c r="U26" s="94" t="s">
        <v>88</v>
      </c>
    </row>
    <row r="27" spans="3:21" s="91" customFormat="1" x14ac:dyDescent="0.25">
      <c r="C27" s="3">
        <v>6</v>
      </c>
      <c r="D27" s="46" t="s">
        <v>44</v>
      </c>
      <c r="E27" s="67">
        <v>1976</v>
      </c>
      <c r="F27" s="95"/>
      <c r="G27" s="67" t="s">
        <v>26</v>
      </c>
      <c r="H27" s="96">
        <v>9</v>
      </c>
      <c r="I27" s="96">
        <v>2</v>
      </c>
      <c r="J27" s="66">
        <v>4328.5</v>
      </c>
      <c r="K27" s="67">
        <v>3866.2</v>
      </c>
      <c r="L27" s="67">
        <f>K27-574.2</f>
        <v>3292</v>
      </c>
      <c r="M27" s="67">
        <v>160</v>
      </c>
      <c r="N27" s="30">
        <v>3044500</v>
      </c>
      <c r="O27" s="93">
        <v>490392.84</v>
      </c>
      <c r="P27" s="93">
        <v>1411140.96</v>
      </c>
      <c r="Q27" s="93">
        <v>686291.2</v>
      </c>
      <c r="R27" s="93">
        <v>456675</v>
      </c>
      <c r="S27" s="30">
        <f t="shared" si="2"/>
        <v>787.46572862241999</v>
      </c>
      <c r="T27" s="30">
        <v>7507</v>
      </c>
      <c r="U27" s="94" t="s">
        <v>88</v>
      </c>
    </row>
    <row r="28" spans="3:21" s="92" customFormat="1" x14ac:dyDescent="0.25">
      <c r="C28" s="3">
        <v>7</v>
      </c>
      <c r="D28" s="45" t="s">
        <v>45</v>
      </c>
      <c r="E28" s="33">
        <v>1964</v>
      </c>
      <c r="F28" s="97"/>
      <c r="G28" s="33" t="s">
        <v>26</v>
      </c>
      <c r="H28" s="98">
        <v>2</v>
      </c>
      <c r="I28" s="98">
        <v>3</v>
      </c>
      <c r="J28" s="68">
        <v>746.3</v>
      </c>
      <c r="K28" s="33">
        <v>746.3</v>
      </c>
      <c r="L28" s="33">
        <f>K28-54</f>
        <v>692.3</v>
      </c>
      <c r="M28" s="33">
        <v>34</v>
      </c>
      <c r="N28" s="74">
        <v>601749.04</v>
      </c>
      <c r="O28" s="93">
        <v>96926.73</v>
      </c>
      <c r="P28" s="93">
        <v>278913.68</v>
      </c>
      <c r="Q28" s="93">
        <v>135646.26999999999</v>
      </c>
      <c r="R28" s="93">
        <v>90262.36</v>
      </c>
      <c r="S28" s="30">
        <f t="shared" si="2"/>
        <v>806.30984858635952</v>
      </c>
      <c r="T28" s="30">
        <v>7507</v>
      </c>
      <c r="U28" s="94" t="s">
        <v>88</v>
      </c>
    </row>
    <row r="29" spans="3:21" s="92" customFormat="1" x14ac:dyDescent="0.25">
      <c r="C29" s="3">
        <v>8</v>
      </c>
      <c r="D29" s="45" t="s">
        <v>46</v>
      </c>
      <c r="E29" s="33">
        <v>1959</v>
      </c>
      <c r="F29" s="97"/>
      <c r="G29" s="33" t="s">
        <v>27</v>
      </c>
      <c r="H29" s="98">
        <v>2</v>
      </c>
      <c r="I29" s="98">
        <v>1</v>
      </c>
      <c r="J29" s="68">
        <v>494.5</v>
      </c>
      <c r="K29" s="33">
        <v>447.2</v>
      </c>
      <c r="L29" s="33">
        <f>K29-45.5</f>
        <v>401.7</v>
      </c>
      <c r="M29" s="33">
        <v>22</v>
      </c>
      <c r="N29" s="74">
        <v>662489.5</v>
      </c>
      <c r="O29" s="93">
        <v>106710.5</v>
      </c>
      <c r="P29" s="93">
        <v>307067.19</v>
      </c>
      <c r="Q29" s="93">
        <v>149338.38</v>
      </c>
      <c r="R29" s="93">
        <v>99373.43</v>
      </c>
      <c r="S29" s="30">
        <f t="shared" si="2"/>
        <v>1481.4165921288015</v>
      </c>
      <c r="T29" s="30">
        <v>7507</v>
      </c>
      <c r="U29" s="94" t="s">
        <v>88</v>
      </c>
    </row>
    <row r="30" spans="3:21" s="92" customFormat="1" x14ac:dyDescent="0.25">
      <c r="C30" s="3">
        <v>9</v>
      </c>
      <c r="D30" s="45" t="s">
        <v>47</v>
      </c>
      <c r="E30" s="33">
        <v>1973</v>
      </c>
      <c r="F30" s="97"/>
      <c r="G30" s="33" t="s">
        <v>30</v>
      </c>
      <c r="H30" s="98">
        <v>2</v>
      </c>
      <c r="I30" s="98">
        <v>2</v>
      </c>
      <c r="J30" s="68">
        <f>537.2+50.5</f>
        <v>587.70000000000005</v>
      </c>
      <c r="K30" s="33">
        <v>537.20000000000005</v>
      </c>
      <c r="L30" s="33">
        <f>K30-114.5</f>
        <v>422.70000000000005</v>
      </c>
      <c r="M30" s="33">
        <v>36</v>
      </c>
      <c r="N30" s="74">
        <v>474069.22</v>
      </c>
      <c r="O30" s="93">
        <v>76360.7</v>
      </c>
      <c r="P30" s="93">
        <v>219733.46</v>
      </c>
      <c r="Q30" s="93">
        <v>106864.68</v>
      </c>
      <c r="R30" s="93">
        <v>71110.38</v>
      </c>
      <c r="S30" s="30">
        <f t="shared" si="2"/>
        <v>882.48179448994779</v>
      </c>
      <c r="T30" s="30">
        <v>7507</v>
      </c>
      <c r="U30" s="94" t="s">
        <v>88</v>
      </c>
    </row>
    <row r="31" spans="3:21" s="92" customFormat="1" x14ac:dyDescent="0.25">
      <c r="C31" s="3">
        <v>10</v>
      </c>
      <c r="D31" s="45" t="s">
        <v>48</v>
      </c>
      <c r="E31" s="33">
        <v>1973</v>
      </c>
      <c r="F31" s="97"/>
      <c r="G31" s="33" t="s">
        <v>30</v>
      </c>
      <c r="H31" s="98">
        <v>2</v>
      </c>
      <c r="I31" s="98">
        <v>2</v>
      </c>
      <c r="J31" s="68">
        <f>534+50.5</f>
        <v>584.5</v>
      </c>
      <c r="K31" s="33">
        <v>534</v>
      </c>
      <c r="L31" s="33">
        <f>K31-179.3</f>
        <v>354.7</v>
      </c>
      <c r="M31" s="33">
        <v>28</v>
      </c>
      <c r="N31" s="74">
        <v>474139.1</v>
      </c>
      <c r="O31" s="93">
        <v>76371.95</v>
      </c>
      <c r="P31" s="93">
        <v>219765.84</v>
      </c>
      <c r="Q31" s="93">
        <v>106880.43999999999</v>
      </c>
      <c r="R31" s="93">
        <v>71120.87</v>
      </c>
      <c r="S31" s="30">
        <f t="shared" si="2"/>
        <v>887.90093632958792</v>
      </c>
      <c r="T31" s="30">
        <v>7507</v>
      </c>
      <c r="U31" s="94" t="s">
        <v>88</v>
      </c>
    </row>
    <row r="32" spans="3:21" s="92" customFormat="1" x14ac:dyDescent="0.25">
      <c r="C32" s="3">
        <v>11</v>
      </c>
      <c r="D32" s="45" t="s">
        <v>49</v>
      </c>
      <c r="E32" s="33">
        <v>1964</v>
      </c>
      <c r="F32" s="97"/>
      <c r="G32" s="33" t="s">
        <v>26</v>
      </c>
      <c r="H32" s="33">
        <v>2</v>
      </c>
      <c r="I32" s="33">
        <v>3</v>
      </c>
      <c r="J32" s="68">
        <v>756.3</v>
      </c>
      <c r="K32" s="33">
        <v>756.3</v>
      </c>
      <c r="L32" s="33">
        <f>756.3-269.3</f>
        <v>486.99999999999994</v>
      </c>
      <c r="M32" s="33">
        <v>37</v>
      </c>
      <c r="N32" s="74">
        <v>601748.64</v>
      </c>
      <c r="O32" s="93">
        <v>96926.66</v>
      </c>
      <c r="P32" s="93">
        <v>278913.5</v>
      </c>
      <c r="Q32" s="93">
        <v>135646.18</v>
      </c>
      <c r="R32" s="93">
        <v>90262.3</v>
      </c>
      <c r="S32" s="30">
        <f t="shared" si="2"/>
        <v>795.64807616025394</v>
      </c>
      <c r="T32" s="30">
        <v>7507</v>
      </c>
      <c r="U32" s="94" t="s">
        <v>88</v>
      </c>
    </row>
    <row r="33" spans="3:21" s="92" customFormat="1" x14ac:dyDescent="0.25">
      <c r="C33" s="3">
        <v>12</v>
      </c>
      <c r="D33" s="45" t="s">
        <v>50</v>
      </c>
      <c r="E33" s="33">
        <v>1927</v>
      </c>
      <c r="F33" s="97"/>
      <c r="G33" s="33" t="s">
        <v>29</v>
      </c>
      <c r="H33" s="33">
        <v>2</v>
      </c>
      <c r="I33" s="33">
        <v>1</v>
      </c>
      <c r="J33" s="68">
        <f>324.9+25</f>
        <v>349.9</v>
      </c>
      <c r="K33" s="33">
        <v>324.89999999999998</v>
      </c>
      <c r="L33" s="33">
        <f>K33-62</f>
        <v>262.89999999999998</v>
      </c>
      <c r="M33" s="33">
        <v>13</v>
      </c>
      <c r="N33" s="74">
        <v>450532.72</v>
      </c>
      <c r="O33" s="93">
        <v>72569.56</v>
      </c>
      <c r="P33" s="93">
        <v>208824.17</v>
      </c>
      <c r="Q33" s="93">
        <v>101559.08</v>
      </c>
      <c r="R33" s="93">
        <v>67579.91</v>
      </c>
      <c r="S33" s="30">
        <f t="shared" si="2"/>
        <v>1386.6811942136042</v>
      </c>
      <c r="T33" s="30">
        <v>7507</v>
      </c>
      <c r="U33" s="94" t="s">
        <v>88</v>
      </c>
    </row>
    <row r="34" spans="3:21" s="91" customFormat="1" ht="15" customHeight="1" x14ac:dyDescent="0.25">
      <c r="C34" s="3">
        <v>13</v>
      </c>
      <c r="D34" s="45" t="s">
        <v>51</v>
      </c>
      <c r="E34" s="67">
        <v>1963</v>
      </c>
      <c r="F34" s="95"/>
      <c r="G34" s="67" t="s">
        <v>27</v>
      </c>
      <c r="H34" s="67">
        <v>2</v>
      </c>
      <c r="I34" s="67">
        <v>2</v>
      </c>
      <c r="J34" s="66">
        <v>664.9</v>
      </c>
      <c r="K34" s="66">
        <v>647.4</v>
      </c>
      <c r="L34" s="66">
        <f>K34-300.7</f>
        <v>346.7</v>
      </c>
      <c r="M34" s="69">
        <v>41</v>
      </c>
      <c r="N34" s="74">
        <v>735522.45</v>
      </c>
      <c r="O34" s="93">
        <v>118474.28</v>
      </c>
      <c r="P34" s="93">
        <v>340918.33</v>
      </c>
      <c r="Q34" s="93">
        <v>165801.47</v>
      </c>
      <c r="R34" s="93">
        <v>110328.37</v>
      </c>
      <c r="S34" s="30">
        <f t="shared" si="2"/>
        <v>1136.117469879518</v>
      </c>
      <c r="T34" s="30">
        <v>7507</v>
      </c>
      <c r="U34" s="94" t="s">
        <v>88</v>
      </c>
    </row>
    <row r="35" spans="3:21" s="91" customFormat="1" x14ac:dyDescent="0.25">
      <c r="C35" s="3">
        <v>14</v>
      </c>
      <c r="D35" s="45" t="s">
        <v>52</v>
      </c>
      <c r="E35" s="67">
        <v>1954</v>
      </c>
      <c r="F35" s="95"/>
      <c r="G35" s="67" t="s">
        <v>27</v>
      </c>
      <c r="H35" s="67">
        <v>2</v>
      </c>
      <c r="I35" s="67">
        <v>2</v>
      </c>
      <c r="J35" s="66">
        <v>733.9</v>
      </c>
      <c r="K35" s="66">
        <v>718.1</v>
      </c>
      <c r="L35" s="66">
        <f>K35-192.4</f>
        <v>525.70000000000005</v>
      </c>
      <c r="M35" s="69">
        <v>24</v>
      </c>
      <c r="N35" s="74">
        <v>1142347.03</v>
      </c>
      <c r="O35" s="93">
        <v>184003.55</v>
      </c>
      <c r="P35" s="93">
        <v>529483.56000000006</v>
      </c>
      <c r="Q35" s="93">
        <v>257507.87</v>
      </c>
      <c r="R35" s="93">
        <v>171352.05</v>
      </c>
      <c r="S35" s="30">
        <f t="shared" si="2"/>
        <v>1590.7910179640719</v>
      </c>
      <c r="T35" s="30">
        <v>7507</v>
      </c>
      <c r="U35" s="94" t="s">
        <v>88</v>
      </c>
    </row>
    <row r="36" spans="3:21" s="91" customFormat="1" x14ac:dyDescent="0.25">
      <c r="C36" s="3">
        <v>15</v>
      </c>
      <c r="D36" s="45" t="s">
        <v>53</v>
      </c>
      <c r="E36" s="67">
        <v>1958</v>
      </c>
      <c r="F36" s="95"/>
      <c r="G36" s="67" t="s">
        <v>31</v>
      </c>
      <c r="H36" s="67">
        <v>3</v>
      </c>
      <c r="I36" s="67">
        <v>3</v>
      </c>
      <c r="J36" s="66">
        <v>1560.4</v>
      </c>
      <c r="K36" s="66">
        <f>1442+74.8</f>
        <v>1516.8</v>
      </c>
      <c r="L36" s="66">
        <f>K36-209.9</f>
        <v>1306.8999999999999</v>
      </c>
      <c r="M36" s="69">
        <v>59</v>
      </c>
      <c r="N36" s="74">
        <v>1361178.82</v>
      </c>
      <c r="O36" s="93">
        <v>219251.88</v>
      </c>
      <c r="P36" s="93">
        <v>630913.18999999994</v>
      </c>
      <c r="Q36" s="93">
        <v>306836.93</v>
      </c>
      <c r="R36" s="93">
        <v>204176.82</v>
      </c>
      <c r="S36" s="30">
        <f t="shared" si="2"/>
        <v>897.40164820675113</v>
      </c>
      <c r="T36" s="30">
        <v>7507</v>
      </c>
      <c r="U36" s="94" t="s">
        <v>88</v>
      </c>
    </row>
    <row r="37" spans="3:21" s="91" customFormat="1" x14ac:dyDescent="0.25">
      <c r="C37" s="3">
        <v>16</v>
      </c>
      <c r="D37" s="47" t="s">
        <v>54</v>
      </c>
      <c r="E37" s="67">
        <v>1986</v>
      </c>
      <c r="F37" s="95"/>
      <c r="G37" s="67" t="s">
        <v>26</v>
      </c>
      <c r="H37" s="67">
        <v>9</v>
      </c>
      <c r="I37" s="67">
        <v>3</v>
      </c>
      <c r="J37" s="66">
        <f>9111.2+672.3</f>
        <v>9783.5</v>
      </c>
      <c r="K37" s="66">
        <v>9111.2000000000007</v>
      </c>
      <c r="L37" s="66">
        <f>K37-623.1</f>
        <v>8488.1</v>
      </c>
      <c r="M37" s="69">
        <v>308</v>
      </c>
      <c r="N37" s="74">
        <v>4566750</v>
      </c>
      <c r="O37" s="93">
        <v>735589.27</v>
      </c>
      <c r="P37" s="93">
        <v>2116711.46</v>
      </c>
      <c r="Q37" s="93">
        <v>1029436.78</v>
      </c>
      <c r="R37" s="93">
        <v>685012.49</v>
      </c>
      <c r="S37" s="30">
        <f t="shared" si="2"/>
        <v>501.22376854859948</v>
      </c>
      <c r="T37" s="30">
        <v>7507</v>
      </c>
      <c r="U37" s="94" t="s">
        <v>88</v>
      </c>
    </row>
    <row r="38" spans="3:21" s="91" customFormat="1" x14ac:dyDescent="0.25">
      <c r="C38" s="3">
        <v>17</v>
      </c>
      <c r="D38" s="45" t="s">
        <v>55</v>
      </c>
      <c r="E38" s="67">
        <v>1953</v>
      </c>
      <c r="F38" s="95"/>
      <c r="G38" s="67" t="s">
        <v>27</v>
      </c>
      <c r="H38" s="67">
        <v>3</v>
      </c>
      <c r="I38" s="67">
        <v>3</v>
      </c>
      <c r="J38" s="66">
        <v>2402.6999999999998</v>
      </c>
      <c r="K38" s="66">
        <v>2194.1999999999998</v>
      </c>
      <c r="L38" s="66">
        <f>K38-538.7</f>
        <v>1655.4999999999998</v>
      </c>
      <c r="M38" s="69">
        <v>124</v>
      </c>
      <c r="N38" s="74">
        <v>2024367.67</v>
      </c>
      <c r="O38" s="93">
        <v>326075.02</v>
      </c>
      <c r="P38" s="93">
        <v>938304.54</v>
      </c>
      <c r="Q38" s="93">
        <v>456332.96</v>
      </c>
      <c r="R38" s="93">
        <v>303655.15000000002</v>
      </c>
      <c r="S38" s="30">
        <f t="shared" si="2"/>
        <v>922.59943031628848</v>
      </c>
      <c r="T38" s="30">
        <v>7507</v>
      </c>
      <c r="U38" s="94" t="s">
        <v>88</v>
      </c>
    </row>
    <row r="39" spans="3:21" s="91" customFormat="1" x14ac:dyDescent="0.25">
      <c r="C39" s="3">
        <v>18</v>
      </c>
      <c r="D39" s="47" t="s">
        <v>94</v>
      </c>
      <c r="E39" s="67">
        <v>1985</v>
      </c>
      <c r="F39" s="95"/>
      <c r="G39" s="67" t="s">
        <v>27</v>
      </c>
      <c r="H39" s="67">
        <v>9</v>
      </c>
      <c r="I39" s="67">
        <v>2</v>
      </c>
      <c r="J39" s="66">
        <v>8245.7000000000007</v>
      </c>
      <c r="K39" s="66">
        <v>8102.8</v>
      </c>
      <c r="L39" s="66">
        <v>7570.3</v>
      </c>
      <c r="M39" s="69">
        <v>306</v>
      </c>
      <c r="N39" s="30">
        <v>3300451.03</v>
      </c>
      <c r="O39" s="93">
        <v>531620.15</v>
      </c>
      <c r="P39" s="93">
        <v>1529775.55</v>
      </c>
      <c r="Q39" s="93">
        <v>743987.67</v>
      </c>
      <c r="R39" s="93">
        <v>495067.66000000003</v>
      </c>
      <c r="S39" s="30">
        <f t="shared" ref="S39" si="3">N39/K39</f>
        <v>407.32228735745667</v>
      </c>
      <c r="T39" s="30">
        <v>7507</v>
      </c>
      <c r="U39" s="94" t="s">
        <v>88</v>
      </c>
    </row>
    <row r="40" spans="3:21" s="91" customFormat="1" x14ac:dyDescent="0.25">
      <c r="C40" s="152" t="s">
        <v>102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8"/>
    </row>
    <row r="41" spans="3:21" s="91" customFormat="1" x14ac:dyDescent="0.25">
      <c r="C41" s="159" t="s">
        <v>103</v>
      </c>
      <c r="D41" s="160"/>
      <c r="E41" s="160"/>
      <c r="F41" s="160"/>
      <c r="G41" s="160"/>
      <c r="H41" s="160"/>
      <c r="I41" s="160"/>
      <c r="J41" s="16">
        <f>J43+J49</f>
        <v>12649.5</v>
      </c>
      <c r="K41" s="16">
        <f t="shared" ref="K41:R41" si="4">K43+K49</f>
        <v>11941.1</v>
      </c>
      <c r="L41" s="16">
        <f t="shared" si="4"/>
        <v>11344.699999999999</v>
      </c>
      <c r="M41" s="16">
        <f t="shared" si="4"/>
        <v>469</v>
      </c>
      <c r="N41" s="16">
        <f t="shared" si="4"/>
        <v>8298329.3499999996</v>
      </c>
      <c r="O41" s="16">
        <f t="shared" si="4"/>
        <v>1336653.3999999999</v>
      </c>
      <c r="P41" s="16">
        <f t="shared" si="4"/>
        <v>3846317.1399999997</v>
      </c>
      <c r="Q41" s="16">
        <f t="shared" si="4"/>
        <v>1870609.41</v>
      </c>
      <c r="R41" s="16">
        <f t="shared" si="4"/>
        <v>1244749.3999999999</v>
      </c>
      <c r="S41" s="117" t="s">
        <v>28</v>
      </c>
      <c r="T41" s="117" t="s">
        <v>28</v>
      </c>
      <c r="U41" s="116"/>
    </row>
    <row r="42" spans="3:21" s="91" customFormat="1" x14ac:dyDescent="0.25">
      <c r="C42" s="152" t="s">
        <v>104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4"/>
    </row>
    <row r="43" spans="3:21" s="91" customFormat="1" x14ac:dyDescent="0.25">
      <c r="C43" s="155" t="s">
        <v>103</v>
      </c>
      <c r="D43" s="156"/>
      <c r="E43" s="156"/>
      <c r="F43" s="156"/>
      <c r="G43" s="156"/>
      <c r="H43" s="156"/>
      <c r="I43" s="156"/>
      <c r="J43" s="16">
        <f>J44+J45+J46+J47</f>
        <v>12649.5</v>
      </c>
      <c r="K43" s="16">
        <f t="shared" ref="K43:R43" si="5">K44+K45+K46+K47</f>
        <v>11941.1</v>
      </c>
      <c r="L43" s="16">
        <f t="shared" si="5"/>
        <v>11344.699999999999</v>
      </c>
      <c r="M43" s="16">
        <f t="shared" si="5"/>
        <v>469</v>
      </c>
      <c r="N43" s="16">
        <f t="shared" si="5"/>
        <v>8298329.3499999996</v>
      </c>
      <c r="O43" s="16">
        <f t="shared" si="5"/>
        <v>1336653.3999999999</v>
      </c>
      <c r="P43" s="16">
        <f t="shared" si="5"/>
        <v>3846317.1399999997</v>
      </c>
      <c r="Q43" s="16">
        <f t="shared" si="5"/>
        <v>1870609.41</v>
      </c>
      <c r="R43" s="16">
        <f t="shared" si="5"/>
        <v>1244749.3999999999</v>
      </c>
      <c r="S43" s="117" t="s">
        <v>28</v>
      </c>
      <c r="T43" s="117" t="s">
        <v>28</v>
      </c>
      <c r="U43" s="117" t="s">
        <v>28</v>
      </c>
    </row>
    <row r="44" spans="3:21" s="91" customFormat="1" x14ac:dyDescent="0.25">
      <c r="C44" s="3">
        <v>1</v>
      </c>
      <c r="D44" s="45" t="s">
        <v>56</v>
      </c>
      <c r="E44" s="67">
        <v>1988</v>
      </c>
      <c r="F44" s="95"/>
      <c r="G44" s="67" t="s">
        <v>26</v>
      </c>
      <c r="H44" s="67">
        <v>9</v>
      </c>
      <c r="I44" s="67">
        <v>1</v>
      </c>
      <c r="J44" s="66">
        <v>1943.5</v>
      </c>
      <c r="K44" s="66">
        <v>1913.3</v>
      </c>
      <c r="L44" s="66">
        <f>K44-117.4</f>
        <v>1795.8999999999999</v>
      </c>
      <c r="M44" s="69">
        <v>97</v>
      </c>
      <c r="N44" s="74">
        <v>1522249.99</v>
      </c>
      <c r="O44" s="93">
        <v>245196.42</v>
      </c>
      <c r="P44" s="93">
        <v>705570.48</v>
      </c>
      <c r="Q44" s="93">
        <v>343145.59</v>
      </c>
      <c r="R44" s="93">
        <v>228337.5</v>
      </c>
      <c r="S44" s="30">
        <f t="shared" si="2"/>
        <v>795.61490095646263</v>
      </c>
      <c r="T44" s="30">
        <v>7507</v>
      </c>
      <c r="U44" s="94" t="s">
        <v>88</v>
      </c>
    </row>
    <row r="45" spans="3:21" s="91" customFormat="1" x14ac:dyDescent="0.25">
      <c r="C45" s="3">
        <v>2</v>
      </c>
      <c r="D45" s="47" t="s">
        <v>57</v>
      </c>
      <c r="E45" s="67">
        <v>1957</v>
      </c>
      <c r="F45" s="95"/>
      <c r="G45" s="67" t="s">
        <v>27</v>
      </c>
      <c r="H45" s="67">
        <v>3</v>
      </c>
      <c r="I45" s="67">
        <v>3</v>
      </c>
      <c r="J45" s="66">
        <f>2345.2+44</f>
        <v>2389.1999999999998</v>
      </c>
      <c r="K45" s="66">
        <v>2345.1999999999998</v>
      </c>
      <c r="L45" s="66">
        <f>K45-0</f>
        <v>2345.1999999999998</v>
      </c>
      <c r="M45" s="69">
        <v>50</v>
      </c>
      <c r="N45" s="74">
        <v>2010316.2</v>
      </c>
      <c r="O45" s="93">
        <v>323811.68</v>
      </c>
      <c r="P45" s="93">
        <v>931791.61</v>
      </c>
      <c r="Q45" s="93">
        <v>453165.48</v>
      </c>
      <c r="R45" s="93">
        <v>301547.43</v>
      </c>
      <c r="S45" s="30">
        <f t="shared" si="2"/>
        <v>857.20458809483205</v>
      </c>
      <c r="T45" s="30">
        <v>7507</v>
      </c>
      <c r="U45" s="94" t="s">
        <v>88</v>
      </c>
    </row>
    <row r="46" spans="3:21" s="91" customFormat="1" x14ac:dyDescent="0.25">
      <c r="C46" s="3">
        <v>3</v>
      </c>
      <c r="D46" s="47" t="s">
        <v>58</v>
      </c>
      <c r="E46" s="67">
        <v>1983</v>
      </c>
      <c r="F46" s="95"/>
      <c r="G46" s="67" t="s">
        <v>27</v>
      </c>
      <c r="H46" s="67">
        <v>12</v>
      </c>
      <c r="I46" s="67">
        <v>1</v>
      </c>
      <c r="J46" s="66">
        <f>3884.1+164.4</f>
        <v>4048.5</v>
      </c>
      <c r="K46" s="66">
        <v>3884.1</v>
      </c>
      <c r="L46" s="66">
        <f>K46-301.6</f>
        <v>3582.5</v>
      </c>
      <c r="M46" s="69">
        <v>172</v>
      </c>
      <c r="N46" s="30">
        <v>3101499.94</v>
      </c>
      <c r="O46" s="93">
        <v>499574.1</v>
      </c>
      <c r="P46" s="93">
        <v>1437560.73</v>
      </c>
      <c r="Q46" s="93">
        <v>699140.12</v>
      </c>
      <c r="R46" s="93">
        <v>465224.99</v>
      </c>
      <c r="S46" s="30">
        <f t="shared" si="2"/>
        <v>798.51186632681959</v>
      </c>
      <c r="T46" s="30">
        <v>7507</v>
      </c>
      <c r="U46" s="94" t="s">
        <v>88</v>
      </c>
    </row>
    <row r="47" spans="3:21" s="91" customFormat="1" x14ac:dyDescent="0.25">
      <c r="C47" s="3">
        <v>4</v>
      </c>
      <c r="D47" s="47" t="s">
        <v>95</v>
      </c>
      <c r="E47" s="67">
        <v>1975</v>
      </c>
      <c r="F47" s="95"/>
      <c r="G47" s="67" t="s">
        <v>26</v>
      </c>
      <c r="H47" s="67">
        <v>9</v>
      </c>
      <c r="I47" s="67">
        <v>2</v>
      </c>
      <c r="J47" s="66">
        <f>3798.5+469.8</f>
        <v>4268.3</v>
      </c>
      <c r="K47" s="66">
        <v>3798.5</v>
      </c>
      <c r="L47" s="66">
        <f>K47-177.4</f>
        <v>3621.1</v>
      </c>
      <c r="M47" s="69">
        <v>150</v>
      </c>
      <c r="N47" s="30">
        <v>1664263.22</v>
      </c>
      <c r="O47" s="93">
        <v>268071.2</v>
      </c>
      <c r="P47" s="93">
        <v>771394.32</v>
      </c>
      <c r="Q47" s="93">
        <v>375158.22</v>
      </c>
      <c r="R47" s="93">
        <v>249639.48</v>
      </c>
      <c r="S47" s="30">
        <f t="shared" si="2"/>
        <v>438.13695406081348</v>
      </c>
      <c r="T47" s="30">
        <v>7507</v>
      </c>
      <c r="U47" s="94" t="s">
        <v>88</v>
      </c>
    </row>
    <row r="48" spans="3:21" ht="15" customHeight="1" x14ac:dyDescent="0.25">
      <c r="C48" s="152" t="s">
        <v>106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4"/>
    </row>
    <row r="49" spans="3:24" s="91" customFormat="1" x14ac:dyDescent="0.25">
      <c r="C49" s="155" t="s">
        <v>103</v>
      </c>
      <c r="D49" s="156"/>
      <c r="E49" s="156"/>
      <c r="F49" s="156"/>
      <c r="G49" s="156"/>
      <c r="H49" s="156"/>
      <c r="I49" s="156"/>
      <c r="J49" s="66">
        <f>J50</f>
        <v>0</v>
      </c>
      <c r="K49" s="66">
        <f t="shared" ref="K49:R49" si="6">K50</f>
        <v>0</v>
      </c>
      <c r="L49" s="66">
        <f t="shared" si="6"/>
        <v>0</v>
      </c>
      <c r="M49" s="66">
        <f t="shared" si="6"/>
        <v>0</v>
      </c>
      <c r="N49" s="66">
        <f t="shared" si="6"/>
        <v>0</v>
      </c>
      <c r="O49" s="66">
        <f t="shared" si="6"/>
        <v>0</v>
      </c>
      <c r="P49" s="66">
        <f t="shared" si="6"/>
        <v>0</v>
      </c>
      <c r="Q49" s="66">
        <f t="shared" si="6"/>
        <v>0</v>
      </c>
      <c r="R49" s="66">
        <f t="shared" si="6"/>
        <v>0</v>
      </c>
      <c r="S49" s="117" t="s">
        <v>28</v>
      </c>
      <c r="T49" s="117" t="s">
        <v>28</v>
      </c>
      <c r="U49" s="117" t="s">
        <v>28</v>
      </c>
    </row>
    <row r="50" spans="3:24" s="91" customFormat="1" x14ac:dyDescent="0.25">
      <c r="C50" s="3">
        <v>1</v>
      </c>
      <c r="D50" s="118" t="s">
        <v>28</v>
      </c>
      <c r="E50" s="67" t="s">
        <v>28</v>
      </c>
      <c r="F50" s="67" t="s">
        <v>28</v>
      </c>
      <c r="G50" s="67" t="s">
        <v>28</v>
      </c>
      <c r="H50" s="67" t="s">
        <v>28</v>
      </c>
      <c r="I50" s="67" t="s">
        <v>28</v>
      </c>
      <c r="J50" s="66">
        <v>0</v>
      </c>
      <c r="K50" s="66">
        <v>0</v>
      </c>
      <c r="L50" s="66">
        <v>0</v>
      </c>
      <c r="M50" s="69">
        <v>0</v>
      </c>
      <c r="N50" s="74">
        <v>0</v>
      </c>
      <c r="O50" s="93">
        <v>0</v>
      </c>
      <c r="P50" s="93">
        <v>0</v>
      </c>
      <c r="Q50" s="93">
        <v>0</v>
      </c>
      <c r="R50" s="93">
        <v>0</v>
      </c>
      <c r="S50" s="30">
        <v>0</v>
      </c>
      <c r="T50" s="30">
        <v>0</v>
      </c>
      <c r="U50" s="94" t="s">
        <v>80</v>
      </c>
    </row>
    <row r="51" spans="3:24" ht="15" customHeight="1" x14ac:dyDescent="0.25">
      <c r="U51" s="20"/>
    </row>
    <row r="52" spans="3:24" ht="15" customHeight="1" x14ac:dyDescent="0.25">
      <c r="U52" s="20"/>
    </row>
    <row r="53" spans="3:24" ht="15" customHeight="1" x14ac:dyDescent="0.35">
      <c r="C53" s="12"/>
      <c r="D53" s="2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13"/>
      <c r="T53" s="13"/>
      <c r="U53" s="13"/>
      <c r="V53" s="13"/>
      <c r="W53" s="13"/>
      <c r="X53" s="13"/>
    </row>
    <row r="54" spans="3:24" ht="15" customHeight="1" x14ac:dyDescent="0.35">
      <c r="C54" s="12"/>
      <c r="D54" s="23" t="s">
        <v>97</v>
      </c>
      <c r="E54" s="23"/>
      <c r="F54" s="24"/>
      <c r="G54" s="24"/>
      <c r="H54" s="24"/>
      <c r="I54" s="24"/>
      <c r="J54" s="24"/>
      <c r="K54" s="24"/>
      <c r="L54" s="24"/>
      <c r="M54" s="24"/>
      <c r="N54" s="25"/>
      <c r="O54" s="26"/>
      <c r="P54" s="25"/>
      <c r="Q54" s="99"/>
      <c r="R54" s="27"/>
      <c r="S54" s="14"/>
      <c r="T54" s="15"/>
      <c r="U54" s="14"/>
      <c r="V54" s="15"/>
      <c r="W54" s="14"/>
      <c r="X54" s="14"/>
    </row>
    <row r="55" spans="3:24" ht="15" customHeight="1" x14ac:dyDescent="0.35">
      <c r="C55" s="12"/>
      <c r="D55" s="21" t="s">
        <v>37</v>
      </c>
      <c r="E55" s="22"/>
      <c r="F55" s="22"/>
      <c r="G55" s="22"/>
      <c r="H55" s="22"/>
      <c r="I55" s="22"/>
      <c r="J55" s="22"/>
      <c r="K55" s="22" t="s">
        <v>98</v>
      </c>
      <c r="L55" s="22"/>
      <c r="M55" s="22"/>
      <c r="N55" s="22"/>
      <c r="O55" s="22"/>
      <c r="Q55" s="22"/>
      <c r="R55" s="22"/>
      <c r="S55" s="13"/>
      <c r="T55" s="13"/>
      <c r="U55" s="13"/>
      <c r="V55" s="13"/>
      <c r="W55" s="13"/>
      <c r="X55" s="13"/>
    </row>
    <row r="56" spans="3:24" ht="15" customHeight="1" x14ac:dyDescent="0.35">
      <c r="C56" s="12"/>
      <c r="D56" s="23"/>
      <c r="E56" s="23"/>
      <c r="F56" s="24"/>
      <c r="G56" s="24"/>
      <c r="H56" s="24"/>
      <c r="I56" s="24"/>
      <c r="J56" s="24"/>
      <c r="K56" s="24"/>
      <c r="L56" s="24"/>
      <c r="M56" s="24"/>
      <c r="N56" s="25"/>
      <c r="O56" s="26"/>
      <c r="P56" s="25"/>
      <c r="Q56" s="26"/>
      <c r="R56" s="27"/>
      <c r="S56" s="14"/>
      <c r="T56" s="15"/>
      <c r="U56" s="14"/>
      <c r="V56" s="15"/>
      <c r="W56" s="14"/>
      <c r="X56" s="14"/>
    </row>
    <row r="57" spans="3:24" ht="15" customHeight="1" x14ac:dyDescent="0.25"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3:24" ht="15" customHeight="1" x14ac:dyDescent="0.25">
      <c r="D58" s="29" t="s">
        <v>32</v>
      </c>
      <c r="E58" s="29"/>
      <c r="F58" s="29"/>
      <c r="G58" s="29"/>
      <c r="H58" s="29"/>
      <c r="I58" s="29"/>
      <c r="J58" s="29"/>
      <c r="K58" s="29"/>
      <c r="L58" s="29"/>
      <c r="M58" s="29" t="s">
        <v>32</v>
      </c>
      <c r="N58" s="29"/>
      <c r="O58" s="29"/>
      <c r="P58" s="29"/>
      <c r="Q58" s="29"/>
      <c r="R58" s="29"/>
      <c r="S58" s="29"/>
    </row>
    <row r="59" spans="3:24" ht="15" customHeight="1" x14ac:dyDescent="0.25">
      <c r="D59" s="29" t="s">
        <v>33</v>
      </c>
      <c r="E59" s="29"/>
      <c r="F59" s="29"/>
      <c r="G59" s="29"/>
      <c r="H59" s="29"/>
      <c r="I59" s="29"/>
      <c r="J59" s="29"/>
      <c r="K59" s="29"/>
      <c r="L59" s="29"/>
      <c r="M59" s="29" t="s">
        <v>89</v>
      </c>
      <c r="N59" s="29"/>
      <c r="O59" s="29"/>
      <c r="P59" s="29"/>
      <c r="Q59" s="29"/>
      <c r="R59" s="29"/>
      <c r="S59" s="29"/>
    </row>
    <row r="60" spans="3:24" ht="15" customHeight="1" x14ac:dyDescent="0.25">
      <c r="D60" s="29" t="s">
        <v>86</v>
      </c>
      <c r="E60" s="29"/>
      <c r="F60" s="29"/>
      <c r="G60" s="29"/>
      <c r="H60" s="29"/>
      <c r="I60" s="29"/>
      <c r="J60" s="29"/>
      <c r="K60" s="29"/>
      <c r="L60" s="29"/>
      <c r="M60" s="29" t="s">
        <v>90</v>
      </c>
      <c r="N60" s="29"/>
      <c r="O60" s="29"/>
      <c r="P60" s="29"/>
      <c r="Q60" s="29"/>
      <c r="R60" s="29"/>
      <c r="S60" s="29"/>
    </row>
  </sheetData>
  <mergeCells count="34">
    <mergeCell ref="C48:U48"/>
    <mergeCell ref="C49:I49"/>
    <mergeCell ref="C40:U40"/>
    <mergeCell ref="C41:I41"/>
    <mergeCell ref="C42:U42"/>
    <mergeCell ref="C43:I43"/>
    <mergeCell ref="Q5:U5"/>
    <mergeCell ref="Q6:U6"/>
    <mergeCell ref="N14:R14"/>
    <mergeCell ref="S14:S16"/>
    <mergeCell ref="T14:T16"/>
    <mergeCell ref="Q8:U8"/>
    <mergeCell ref="Q9:U9"/>
    <mergeCell ref="E11:R11"/>
    <mergeCell ref="E13:R13"/>
    <mergeCell ref="N15:N16"/>
    <mergeCell ref="O15:R15"/>
    <mergeCell ref="U14:U17"/>
    <mergeCell ref="E15:E17"/>
    <mergeCell ref="F15:F17"/>
    <mergeCell ref="K15:K16"/>
    <mergeCell ref="C19:D19"/>
    <mergeCell ref="C20:U20"/>
    <mergeCell ref="C21:I21"/>
    <mergeCell ref="L15:L16"/>
    <mergeCell ref="C14:C17"/>
    <mergeCell ref="D14:D17"/>
    <mergeCell ref="E14:F14"/>
    <mergeCell ref="G14:G17"/>
    <mergeCell ref="H14:H17"/>
    <mergeCell ref="I14:I17"/>
    <mergeCell ref="J14:J16"/>
    <mergeCell ref="K14:L14"/>
    <mergeCell ref="M14:M16"/>
  </mergeCells>
  <pageMargins left="0.31496062992125984" right="0.27559055118110237" top="0.47244094488188981" bottom="0.70866141732283472" header="0.31496062992125984" footer="0.31496062992125984"/>
  <pageSetup paperSize="9" scale="47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Y42"/>
  <sheetViews>
    <sheetView view="pageBreakPreview" zoomScale="60" zoomScaleNormal="75" workbookViewId="0">
      <selection sqref="A1:T42"/>
    </sheetView>
  </sheetViews>
  <sheetFormatPr defaultRowHeight="15" x14ac:dyDescent="0.25"/>
  <cols>
    <col min="3" max="3" width="4.5703125" customWidth="1"/>
    <col min="4" max="4" width="38.42578125" customWidth="1"/>
    <col min="5" max="5" width="13.28515625" customWidth="1"/>
    <col min="6" max="6" width="14" customWidth="1"/>
    <col min="7" max="7" width="7.42578125" customWidth="1"/>
    <col min="8" max="8" width="14" customWidth="1"/>
    <col min="9" max="9" width="8.5703125" customWidth="1"/>
    <col min="10" max="10" width="13.7109375" customWidth="1"/>
    <col min="17" max="17" width="9.85546875" customWidth="1"/>
    <col min="18" max="18" width="12.7109375" customWidth="1"/>
  </cols>
  <sheetData>
    <row r="1" spans="3:25" x14ac:dyDescent="0.25">
      <c r="O1" s="161"/>
      <c r="P1" s="161"/>
      <c r="Q1" s="161"/>
      <c r="R1" s="161"/>
      <c r="S1" s="161"/>
    </row>
    <row r="2" spans="3:25" x14ac:dyDescent="0.25">
      <c r="O2" s="105"/>
      <c r="P2" s="105"/>
      <c r="Q2" s="105"/>
      <c r="R2" s="105"/>
      <c r="S2" s="105"/>
    </row>
    <row r="3" spans="3:25" x14ac:dyDescent="0.25">
      <c r="O3" s="105"/>
      <c r="P3" s="105"/>
      <c r="Q3" s="105"/>
      <c r="R3" s="105"/>
      <c r="S3" s="105"/>
    </row>
    <row r="4" spans="3:25" x14ac:dyDescent="0.25">
      <c r="O4" s="105"/>
      <c r="P4" s="105"/>
      <c r="Q4" s="105"/>
      <c r="R4" s="105"/>
      <c r="S4" s="105"/>
    </row>
    <row r="5" spans="3:25" ht="24" customHeight="1" x14ac:dyDescent="0.25">
      <c r="C5" s="50"/>
      <c r="D5" s="82"/>
      <c r="E5" s="164" t="s">
        <v>113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50"/>
      <c r="R5" s="50"/>
      <c r="S5" s="50"/>
      <c r="T5" s="50"/>
      <c r="U5" s="50"/>
      <c r="V5" s="50"/>
    </row>
    <row r="6" spans="3:25" ht="28.5" hidden="1" customHeight="1" x14ac:dyDescent="0.25"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51"/>
      <c r="U6" s="51"/>
      <c r="V6" s="51"/>
      <c r="W6" s="34"/>
      <c r="X6" s="34"/>
      <c r="Y6" s="34"/>
    </row>
    <row r="7" spans="3:25" ht="29.25" customHeight="1" x14ac:dyDescent="0.25">
      <c r="C7" s="162" t="s">
        <v>0</v>
      </c>
      <c r="D7" s="162" t="s">
        <v>25</v>
      </c>
      <c r="E7" s="162" t="s">
        <v>59</v>
      </c>
      <c r="F7" s="166" t="s">
        <v>111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7" t="s">
        <v>87</v>
      </c>
      <c r="R7" s="167"/>
      <c r="S7" s="167"/>
      <c r="T7" s="35"/>
      <c r="U7" s="34"/>
      <c r="V7" s="34"/>
      <c r="W7" s="34"/>
      <c r="X7" s="34"/>
      <c r="Y7" s="34"/>
    </row>
    <row r="8" spans="3:25" ht="89.25" x14ac:dyDescent="0.25">
      <c r="C8" s="162"/>
      <c r="D8" s="162"/>
      <c r="E8" s="162"/>
      <c r="F8" s="36" t="s">
        <v>60</v>
      </c>
      <c r="G8" s="162" t="s">
        <v>61</v>
      </c>
      <c r="H8" s="162"/>
      <c r="I8" s="162" t="s">
        <v>62</v>
      </c>
      <c r="J8" s="162"/>
      <c r="K8" s="168" t="s">
        <v>63</v>
      </c>
      <c r="L8" s="168"/>
      <c r="M8" s="162" t="s">
        <v>64</v>
      </c>
      <c r="N8" s="162"/>
      <c r="O8" s="162" t="s">
        <v>65</v>
      </c>
      <c r="P8" s="162"/>
      <c r="Q8" s="36" t="s">
        <v>66</v>
      </c>
      <c r="R8" s="36" t="s">
        <v>67</v>
      </c>
      <c r="S8" s="36" t="s">
        <v>68</v>
      </c>
      <c r="T8" s="35"/>
      <c r="U8" s="34"/>
      <c r="V8" s="34"/>
      <c r="W8" s="34"/>
      <c r="X8" s="34"/>
      <c r="Y8" s="34"/>
    </row>
    <row r="9" spans="3:25" x14ac:dyDescent="0.25">
      <c r="C9" s="162"/>
      <c r="D9" s="162"/>
      <c r="E9" s="36" t="s">
        <v>22</v>
      </c>
      <c r="F9" s="36" t="s">
        <v>22</v>
      </c>
      <c r="G9" s="36" t="s">
        <v>69</v>
      </c>
      <c r="H9" s="36" t="s">
        <v>22</v>
      </c>
      <c r="I9" s="36" t="s">
        <v>70</v>
      </c>
      <c r="J9" s="36" t="s">
        <v>22</v>
      </c>
      <c r="K9" s="37" t="s">
        <v>70</v>
      </c>
      <c r="L9" s="37" t="s">
        <v>22</v>
      </c>
      <c r="M9" s="36" t="s">
        <v>70</v>
      </c>
      <c r="N9" s="36" t="s">
        <v>22</v>
      </c>
      <c r="O9" s="36" t="s">
        <v>71</v>
      </c>
      <c r="P9" s="36" t="s">
        <v>22</v>
      </c>
      <c r="Q9" s="36" t="s">
        <v>72</v>
      </c>
      <c r="R9" s="36" t="s">
        <v>22</v>
      </c>
      <c r="S9" s="36" t="s">
        <v>22</v>
      </c>
      <c r="T9" s="35"/>
      <c r="U9" s="34"/>
      <c r="V9" s="34"/>
      <c r="W9" s="34"/>
      <c r="X9" s="34"/>
      <c r="Y9" s="34"/>
    </row>
    <row r="10" spans="3:25" x14ac:dyDescent="0.25">
      <c r="C10" s="38">
        <v>1</v>
      </c>
      <c r="D10" s="38">
        <v>2</v>
      </c>
      <c r="E10" s="38">
        <v>3</v>
      </c>
      <c r="F10" s="38">
        <v>4</v>
      </c>
      <c r="G10" s="38">
        <v>5</v>
      </c>
      <c r="H10" s="38">
        <v>6</v>
      </c>
      <c r="I10" s="38">
        <v>7</v>
      </c>
      <c r="J10" s="38">
        <v>8</v>
      </c>
      <c r="K10" s="39">
        <v>9</v>
      </c>
      <c r="L10" s="39">
        <v>10</v>
      </c>
      <c r="M10" s="38">
        <v>11</v>
      </c>
      <c r="N10" s="38">
        <v>12</v>
      </c>
      <c r="O10" s="38">
        <v>13</v>
      </c>
      <c r="P10" s="38">
        <v>14</v>
      </c>
      <c r="Q10" s="38">
        <v>15</v>
      </c>
      <c r="R10" s="38">
        <v>16</v>
      </c>
      <c r="S10" s="38">
        <v>17</v>
      </c>
      <c r="T10" s="35"/>
      <c r="U10" s="34"/>
      <c r="V10" s="34"/>
      <c r="W10" s="34"/>
      <c r="X10" s="34"/>
      <c r="Y10" s="34"/>
    </row>
    <row r="11" spans="3:25" ht="30.75" customHeight="1" x14ac:dyDescent="0.25">
      <c r="C11" s="163" t="s">
        <v>107</v>
      </c>
      <c r="D11" s="163"/>
      <c r="E11" s="40">
        <f>SUM(E12:E33)</f>
        <v>53673424.520000003</v>
      </c>
      <c r="F11" s="40">
        <f t="shared" ref="F11:S11" si="0">SUM(F12:F33)</f>
        <v>0</v>
      </c>
      <c r="G11" s="100">
        <f t="shared" si="0"/>
        <v>28</v>
      </c>
      <c r="H11" s="40">
        <f t="shared" si="0"/>
        <v>43134964.129999995</v>
      </c>
      <c r="I11" s="119">
        <f t="shared" si="0"/>
        <v>7039.5</v>
      </c>
      <c r="J11" s="40">
        <f t="shared" si="0"/>
        <v>10538460.390000001</v>
      </c>
      <c r="K11" s="40">
        <f t="shared" si="0"/>
        <v>0</v>
      </c>
      <c r="L11" s="40">
        <f t="shared" si="0"/>
        <v>0</v>
      </c>
      <c r="M11" s="40">
        <f t="shared" si="0"/>
        <v>0</v>
      </c>
      <c r="N11" s="40">
        <f t="shared" si="0"/>
        <v>0</v>
      </c>
      <c r="O11" s="40">
        <f t="shared" si="0"/>
        <v>0</v>
      </c>
      <c r="P11" s="40">
        <f t="shared" si="0"/>
        <v>0</v>
      </c>
      <c r="Q11" s="40">
        <f t="shared" si="0"/>
        <v>0</v>
      </c>
      <c r="R11" s="40">
        <f t="shared" si="0"/>
        <v>0</v>
      </c>
      <c r="S11" s="40">
        <f t="shared" si="0"/>
        <v>0</v>
      </c>
      <c r="T11" s="48"/>
      <c r="U11" s="34"/>
      <c r="V11" s="34"/>
      <c r="W11" s="34"/>
      <c r="X11" s="34"/>
      <c r="Y11" s="34"/>
    </row>
    <row r="12" spans="3:25" ht="15" customHeight="1" x14ac:dyDescent="0.25">
      <c r="C12" s="88">
        <v>1</v>
      </c>
      <c r="D12" s="45" t="s">
        <v>39</v>
      </c>
      <c r="E12" s="30">
        <v>9133500</v>
      </c>
      <c r="F12" s="41">
        <v>0</v>
      </c>
      <c r="G12" s="5">
        <v>6</v>
      </c>
      <c r="H12" s="30">
        <f>E12</f>
        <v>9133500</v>
      </c>
      <c r="I12" s="5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9"/>
      <c r="U12" s="34"/>
      <c r="V12" s="34"/>
      <c r="W12" s="34"/>
      <c r="X12" s="34"/>
      <c r="Y12" s="34"/>
    </row>
    <row r="13" spans="3:25" ht="15" customHeight="1" x14ac:dyDescent="0.25">
      <c r="C13" s="89">
        <v>2</v>
      </c>
      <c r="D13" s="45" t="s">
        <v>40</v>
      </c>
      <c r="E13" s="30">
        <v>3044500</v>
      </c>
      <c r="F13" s="41">
        <v>0</v>
      </c>
      <c r="G13" s="5">
        <v>2</v>
      </c>
      <c r="H13" s="30">
        <f t="shared" ref="H13:H17" si="1">E13</f>
        <v>3044500</v>
      </c>
      <c r="I13" s="5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41">
        <v>0</v>
      </c>
      <c r="R13" s="41">
        <v>0</v>
      </c>
      <c r="S13" s="41">
        <v>0</v>
      </c>
      <c r="T13" s="49"/>
      <c r="U13" s="34"/>
      <c r="V13" s="34"/>
      <c r="W13" s="34"/>
      <c r="X13" s="34"/>
      <c r="Y13" s="34"/>
    </row>
    <row r="14" spans="3:25" ht="15" customHeight="1" x14ac:dyDescent="0.25">
      <c r="C14" s="85">
        <v>3</v>
      </c>
      <c r="D14" s="45" t="s">
        <v>41</v>
      </c>
      <c r="E14" s="30">
        <v>3101499.96</v>
      </c>
      <c r="F14" s="41">
        <v>0</v>
      </c>
      <c r="G14" s="5">
        <v>2</v>
      </c>
      <c r="H14" s="30">
        <f t="shared" si="1"/>
        <v>3101499.96</v>
      </c>
      <c r="I14" s="5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9"/>
      <c r="U14" s="34"/>
      <c r="V14" s="34"/>
      <c r="W14" s="34"/>
      <c r="X14" s="34"/>
      <c r="Y14" s="34"/>
    </row>
    <row r="15" spans="3:25" ht="15" customHeight="1" x14ac:dyDescent="0.25">
      <c r="C15" s="85">
        <v>4</v>
      </c>
      <c r="D15" s="45" t="s">
        <v>42</v>
      </c>
      <c r="E15" s="30">
        <v>9133500</v>
      </c>
      <c r="F15" s="41">
        <v>0</v>
      </c>
      <c r="G15" s="5">
        <v>6</v>
      </c>
      <c r="H15" s="30">
        <f t="shared" si="1"/>
        <v>9133500</v>
      </c>
      <c r="I15" s="42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</v>
      </c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34"/>
      <c r="U15" s="34"/>
      <c r="V15" s="34"/>
      <c r="W15" s="34"/>
      <c r="X15" s="34"/>
      <c r="Y15" s="34"/>
    </row>
    <row r="16" spans="3:25" ht="15" customHeight="1" x14ac:dyDescent="0.25">
      <c r="C16" s="85">
        <v>5</v>
      </c>
      <c r="D16" s="45" t="s">
        <v>43</v>
      </c>
      <c r="E16" s="30">
        <v>1522249.99</v>
      </c>
      <c r="F16" s="41">
        <v>0</v>
      </c>
      <c r="G16" s="5">
        <v>1</v>
      </c>
      <c r="H16" s="30">
        <f t="shared" si="1"/>
        <v>1522249.99</v>
      </c>
      <c r="I16" s="42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34"/>
      <c r="U16" s="34"/>
      <c r="V16" s="34"/>
      <c r="W16" s="34"/>
      <c r="X16" s="34"/>
      <c r="Y16" s="34"/>
    </row>
    <row r="17" spans="3:25" ht="15" customHeight="1" x14ac:dyDescent="0.25">
      <c r="C17" s="85">
        <v>6</v>
      </c>
      <c r="D17" s="46" t="s">
        <v>44</v>
      </c>
      <c r="E17" s="30">
        <v>3044500</v>
      </c>
      <c r="F17" s="41">
        <v>0</v>
      </c>
      <c r="G17" s="5">
        <v>2</v>
      </c>
      <c r="H17" s="30">
        <f t="shared" si="1"/>
        <v>3044500</v>
      </c>
      <c r="I17" s="42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34"/>
      <c r="U17" s="34"/>
      <c r="V17" s="34"/>
      <c r="W17" s="34"/>
      <c r="X17" s="34"/>
      <c r="Y17" s="34"/>
    </row>
    <row r="18" spans="3:25" ht="15" customHeight="1" x14ac:dyDescent="0.25">
      <c r="C18" s="88">
        <v>7</v>
      </c>
      <c r="D18" s="45" t="s">
        <v>45</v>
      </c>
      <c r="E18" s="30">
        <v>601749.04</v>
      </c>
      <c r="F18" s="41">
        <v>0</v>
      </c>
      <c r="G18" s="5">
        <v>0</v>
      </c>
      <c r="H18" s="76">
        <v>0</v>
      </c>
      <c r="I18" s="42">
        <v>528</v>
      </c>
      <c r="J18" s="30">
        <f>E18</f>
        <v>601749.04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34"/>
      <c r="U18" s="34"/>
      <c r="V18" s="34"/>
      <c r="W18" s="34"/>
      <c r="X18" s="34"/>
      <c r="Y18" s="34"/>
    </row>
    <row r="19" spans="3:25" ht="15" customHeight="1" x14ac:dyDescent="0.25">
      <c r="C19" s="89">
        <v>8</v>
      </c>
      <c r="D19" s="45" t="s">
        <v>46</v>
      </c>
      <c r="E19" s="74">
        <v>662489.5</v>
      </c>
      <c r="F19" s="41">
        <v>0</v>
      </c>
      <c r="G19" s="5">
        <v>0</v>
      </c>
      <c r="H19" s="76">
        <v>0</v>
      </c>
      <c r="I19" s="42">
        <v>460</v>
      </c>
      <c r="J19" s="30">
        <f t="shared" ref="J19:J26" si="2">E19</f>
        <v>662489.5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34"/>
      <c r="U19" s="34"/>
      <c r="V19" s="34"/>
      <c r="W19" s="34"/>
      <c r="X19" s="34"/>
      <c r="Y19" s="34"/>
    </row>
    <row r="20" spans="3:25" ht="15" customHeight="1" x14ac:dyDescent="0.25">
      <c r="C20" s="85">
        <v>9</v>
      </c>
      <c r="D20" s="45" t="s">
        <v>47</v>
      </c>
      <c r="E20" s="30">
        <v>474069.22</v>
      </c>
      <c r="F20" s="41">
        <v>0</v>
      </c>
      <c r="G20" s="5">
        <v>0</v>
      </c>
      <c r="H20" s="76">
        <v>0</v>
      </c>
      <c r="I20" s="42">
        <v>402.3</v>
      </c>
      <c r="J20" s="30">
        <f t="shared" si="2"/>
        <v>474069.22</v>
      </c>
      <c r="K20" s="41">
        <v>0</v>
      </c>
      <c r="L20" s="41">
        <v>0</v>
      </c>
      <c r="M20" s="41">
        <v>0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34"/>
      <c r="U20" s="34"/>
      <c r="V20" s="34"/>
      <c r="W20" s="34"/>
      <c r="X20" s="34"/>
      <c r="Y20" s="34"/>
    </row>
    <row r="21" spans="3:25" ht="15" customHeight="1" x14ac:dyDescent="0.25">
      <c r="C21" s="85">
        <v>10</v>
      </c>
      <c r="D21" s="45" t="s">
        <v>48</v>
      </c>
      <c r="E21" s="30">
        <v>474139.1</v>
      </c>
      <c r="F21" s="41">
        <v>0</v>
      </c>
      <c r="G21" s="5">
        <v>0</v>
      </c>
      <c r="H21" s="76">
        <v>0</v>
      </c>
      <c r="I21" s="42">
        <v>409.2</v>
      </c>
      <c r="J21" s="30">
        <f t="shared" si="2"/>
        <v>474139.1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34"/>
      <c r="U21" s="34"/>
      <c r="V21" s="34"/>
      <c r="W21" s="34"/>
      <c r="X21" s="34"/>
      <c r="Y21" s="34"/>
    </row>
    <row r="22" spans="3:25" ht="15" customHeight="1" x14ac:dyDescent="0.25">
      <c r="C22" s="85">
        <v>11</v>
      </c>
      <c r="D22" s="45" t="s">
        <v>49</v>
      </c>
      <c r="E22" s="30">
        <v>601748.64</v>
      </c>
      <c r="F22" s="41">
        <v>0</v>
      </c>
      <c r="G22" s="5">
        <v>0</v>
      </c>
      <c r="H22" s="76">
        <v>0</v>
      </c>
      <c r="I22" s="42">
        <v>528</v>
      </c>
      <c r="J22" s="30">
        <f t="shared" si="2"/>
        <v>601748.64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34"/>
      <c r="U22" s="34"/>
      <c r="V22" s="34"/>
      <c r="W22" s="34"/>
      <c r="X22" s="34"/>
      <c r="Y22" s="34"/>
    </row>
    <row r="23" spans="3:25" ht="15" customHeight="1" x14ac:dyDescent="0.25">
      <c r="C23" s="85">
        <v>12</v>
      </c>
      <c r="D23" s="45" t="s">
        <v>50</v>
      </c>
      <c r="E23" s="30">
        <v>450532.72</v>
      </c>
      <c r="F23" s="41">
        <v>0</v>
      </c>
      <c r="G23" s="5">
        <v>0</v>
      </c>
      <c r="H23" s="76">
        <v>0</v>
      </c>
      <c r="I23" s="42">
        <v>273</v>
      </c>
      <c r="J23" s="30">
        <f t="shared" si="2"/>
        <v>450532.72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34"/>
      <c r="U23" s="34"/>
      <c r="V23" s="34"/>
      <c r="W23" s="34"/>
      <c r="X23" s="34"/>
      <c r="Y23" s="34"/>
    </row>
    <row r="24" spans="3:25" ht="15" customHeight="1" x14ac:dyDescent="0.25">
      <c r="C24" s="88">
        <v>13</v>
      </c>
      <c r="D24" s="45" t="s">
        <v>51</v>
      </c>
      <c r="E24" s="30">
        <v>735522.45</v>
      </c>
      <c r="F24" s="41">
        <v>0</v>
      </c>
      <c r="G24" s="5">
        <v>0</v>
      </c>
      <c r="H24" s="76">
        <v>0</v>
      </c>
      <c r="I24" s="42">
        <v>551</v>
      </c>
      <c r="J24" s="30">
        <f t="shared" si="2"/>
        <v>735522.45</v>
      </c>
      <c r="K24" s="41">
        <v>0</v>
      </c>
      <c r="L24" s="41">
        <v>0</v>
      </c>
      <c r="M24" s="41">
        <v>0</v>
      </c>
      <c r="N24" s="41">
        <v>0</v>
      </c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34"/>
      <c r="U24" s="34"/>
      <c r="V24" s="34"/>
      <c r="W24" s="34"/>
      <c r="X24" s="34"/>
      <c r="Y24" s="34"/>
    </row>
    <row r="25" spans="3:25" ht="15" customHeight="1" x14ac:dyDescent="0.25">
      <c r="C25" s="89">
        <v>14</v>
      </c>
      <c r="D25" s="45" t="s">
        <v>52</v>
      </c>
      <c r="E25" s="30">
        <v>1142347.03</v>
      </c>
      <c r="F25" s="41">
        <v>0</v>
      </c>
      <c r="G25" s="5">
        <v>0</v>
      </c>
      <c r="H25" s="76">
        <v>0</v>
      </c>
      <c r="I25" s="42">
        <v>748</v>
      </c>
      <c r="J25" s="30">
        <f t="shared" si="2"/>
        <v>1142347.03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34"/>
      <c r="U25" s="34"/>
      <c r="V25" s="34"/>
      <c r="W25" s="34"/>
      <c r="X25" s="34"/>
      <c r="Y25" s="34"/>
    </row>
    <row r="26" spans="3:25" ht="15" customHeight="1" x14ac:dyDescent="0.25">
      <c r="C26" s="85">
        <v>15</v>
      </c>
      <c r="D26" s="45" t="s">
        <v>53</v>
      </c>
      <c r="E26" s="30">
        <v>1361178.82</v>
      </c>
      <c r="F26" s="41">
        <v>0</v>
      </c>
      <c r="G26" s="5">
        <v>0</v>
      </c>
      <c r="H26" s="76">
        <v>0</v>
      </c>
      <c r="I26" s="42">
        <v>730</v>
      </c>
      <c r="J26" s="30">
        <f t="shared" si="2"/>
        <v>1361178.82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34"/>
      <c r="U26" s="34"/>
      <c r="V26" s="34"/>
      <c r="W26" s="34"/>
      <c r="X26" s="34"/>
      <c r="Y26" s="34"/>
    </row>
    <row r="27" spans="3:25" ht="15" customHeight="1" x14ac:dyDescent="0.25">
      <c r="C27" s="85">
        <v>16</v>
      </c>
      <c r="D27" s="47" t="s">
        <v>54</v>
      </c>
      <c r="E27" s="30">
        <v>4566750</v>
      </c>
      <c r="F27" s="41">
        <v>0</v>
      </c>
      <c r="G27" s="5">
        <v>3</v>
      </c>
      <c r="H27" s="30">
        <f>E27</f>
        <v>4566750</v>
      </c>
      <c r="I27" s="42">
        <v>0</v>
      </c>
      <c r="J27" s="30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34"/>
      <c r="U27" s="34"/>
      <c r="V27" s="34"/>
      <c r="W27" s="34"/>
      <c r="X27" s="34"/>
      <c r="Y27" s="34"/>
    </row>
    <row r="28" spans="3:25" ht="15" customHeight="1" x14ac:dyDescent="0.25">
      <c r="C28" s="85">
        <v>17</v>
      </c>
      <c r="D28" s="45" t="s">
        <v>55</v>
      </c>
      <c r="E28" s="30">
        <v>2024367.67</v>
      </c>
      <c r="F28" s="41">
        <v>0</v>
      </c>
      <c r="G28" s="5">
        <v>0</v>
      </c>
      <c r="H28" s="43">
        <v>0</v>
      </c>
      <c r="I28" s="42">
        <v>1260</v>
      </c>
      <c r="J28" s="30">
        <f>E28</f>
        <v>2024367.67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34"/>
      <c r="U28" s="34"/>
      <c r="V28" s="34"/>
      <c r="W28" s="34"/>
      <c r="X28" s="34"/>
      <c r="Y28" s="34"/>
    </row>
    <row r="29" spans="3:25" ht="15" customHeight="1" x14ac:dyDescent="0.25">
      <c r="C29" s="85">
        <v>18</v>
      </c>
      <c r="D29" s="45" t="s">
        <v>56</v>
      </c>
      <c r="E29" s="30">
        <v>1522249.99</v>
      </c>
      <c r="F29" s="41">
        <v>0</v>
      </c>
      <c r="G29" s="5">
        <v>1</v>
      </c>
      <c r="H29" s="30">
        <f>E29</f>
        <v>1522249.99</v>
      </c>
      <c r="I29" s="42">
        <v>0</v>
      </c>
      <c r="J29" s="43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34"/>
      <c r="U29" s="34"/>
      <c r="V29" s="34"/>
      <c r="W29" s="34"/>
      <c r="X29" s="34"/>
      <c r="Y29" s="34"/>
    </row>
    <row r="30" spans="3:25" ht="15" customHeight="1" x14ac:dyDescent="0.25">
      <c r="C30" s="88">
        <v>19</v>
      </c>
      <c r="D30" s="47" t="s">
        <v>57</v>
      </c>
      <c r="E30" s="30">
        <v>2010316.2</v>
      </c>
      <c r="F30" s="74">
        <v>0</v>
      </c>
      <c r="G30" s="75">
        <v>0</v>
      </c>
      <c r="H30" s="76">
        <v>0</v>
      </c>
      <c r="I30" s="77">
        <v>1150</v>
      </c>
      <c r="J30" s="30">
        <f>E30</f>
        <v>2010316.2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34"/>
      <c r="U30" s="34"/>
      <c r="V30" s="34"/>
      <c r="W30" s="34"/>
      <c r="X30" s="34"/>
      <c r="Y30" s="34"/>
    </row>
    <row r="31" spans="3:25" ht="15" customHeight="1" x14ac:dyDescent="0.25">
      <c r="C31" s="89">
        <v>20</v>
      </c>
      <c r="D31" s="47" t="s">
        <v>58</v>
      </c>
      <c r="E31" s="30">
        <v>3101499.94</v>
      </c>
      <c r="F31" s="41">
        <v>0</v>
      </c>
      <c r="G31" s="5">
        <v>2</v>
      </c>
      <c r="H31" s="30">
        <f>E31</f>
        <v>3101499.94</v>
      </c>
      <c r="I31" s="42">
        <v>0</v>
      </c>
      <c r="J31" s="43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  <c r="S31" s="44">
        <v>0</v>
      </c>
      <c r="T31" s="34"/>
      <c r="U31" s="34"/>
      <c r="V31" s="34"/>
      <c r="W31" s="34"/>
      <c r="X31" s="34"/>
      <c r="Y31" s="34"/>
    </row>
    <row r="32" spans="3:25" ht="15" customHeight="1" x14ac:dyDescent="0.25">
      <c r="C32" s="90">
        <v>21</v>
      </c>
      <c r="D32" s="47" t="s">
        <v>94</v>
      </c>
      <c r="E32" s="30">
        <v>3300451.03</v>
      </c>
      <c r="F32" s="41">
        <v>0</v>
      </c>
      <c r="G32" s="5">
        <v>2</v>
      </c>
      <c r="H32" s="30">
        <f t="shared" ref="H32:H33" si="3">E32</f>
        <v>3300451.03</v>
      </c>
      <c r="I32" s="42">
        <v>0</v>
      </c>
      <c r="J32" s="43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34"/>
      <c r="U32" s="34"/>
      <c r="V32" s="34"/>
      <c r="W32" s="34"/>
      <c r="X32" s="34"/>
      <c r="Y32" s="34"/>
    </row>
    <row r="33" spans="3:25" ht="15" customHeight="1" x14ac:dyDescent="0.25">
      <c r="C33" s="90">
        <v>22</v>
      </c>
      <c r="D33" s="47" t="s">
        <v>95</v>
      </c>
      <c r="E33" s="30">
        <v>1664263.22</v>
      </c>
      <c r="F33" s="41">
        <v>0</v>
      </c>
      <c r="G33" s="5">
        <v>1</v>
      </c>
      <c r="H33" s="30">
        <f t="shared" si="3"/>
        <v>1664263.22</v>
      </c>
      <c r="I33" s="42">
        <v>0</v>
      </c>
      <c r="J33" s="43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34"/>
      <c r="U33" s="34"/>
      <c r="V33" s="34"/>
      <c r="W33" s="34"/>
      <c r="X33" s="34"/>
      <c r="Y33" s="34"/>
    </row>
    <row r="35" spans="3:25" x14ac:dyDescent="0.25">
      <c r="H35" s="52"/>
    </row>
    <row r="36" spans="3:25" ht="15.75" x14ac:dyDescent="0.25">
      <c r="D36" s="23" t="s">
        <v>97</v>
      </c>
      <c r="E36" s="23"/>
      <c r="F36" s="24"/>
      <c r="G36" s="24"/>
      <c r="H36" s="24"/>
      <c r="I36" s="24"/>
      <c r="J36" s="24"/>
      <c r="K36" s="24"/>
      <c r="L36" s="24"/>
      <c r="M36" s="24"/>
      <c r="N36" s="25"/>
      <c r="O36" s="26"/>
      <c r="P36" s="25"/>
      <c r="Q36" s="27"/>
    </row>
    <row r="37" spans="3:25" ht="15.75" x14ac:dyDescent="0.25">
      <c r="D37" s="21" t="s">
        <v>37</v>
      </c>
      <c r="E37" s="22"/>
      <c r="F37" s="22"/>
      <c r="G37" s="22"/>
      <c r="H37" s="22"/>
      <c r="I37" s="22"/>
      <c r="J37" s="22"/>
      <c r="K37" s="22" t="s">
        <v>98</v>
      </c>
      <c r="L37" s="22"/>
      <c r="M37" s="22"/>
      <c r="N37" s="22"/>
      <c r="O37" s="22"/>
      <c r="Q37" s="22"/>
    </row>
    <row r="38" spans="3:25" ht="15.75" x14ac:dyDescent="0.25">
      <c r="D38" s="23"/>
      <c r="E38" s="23"/>
      <c r="F38" s="24"/>
      <c r="G38" s="24"/>
      <c r="H38" s="24"/>
      <c r="I38" s="24"/>
      <c r="J38" s="24"/>
      <c r="K38" s="24"/>
      <c r="L38" s="24"/>
      <c r="M38" s="24"/>
      <c r="N38" s="25"/>
      <c r="O38" s="26"/>
      <c r="P38" s="25"/>
      <c r="Q38" s="27"/>
    </row>
    <row r="39" spans="3:25" ht="15.75" x14ac:dyDescent="0.25"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3:25" ht="15.75" x14ac:dyDescent="0.25">
      <c r="D40" s="29" t="s">
        <v>32</v>
      </c>
      <c r="E40" s="29"/>
      <c r="F40" s="29"/>
      <c r="G40" s="29"/>
      <c r="H40" s="29"/>
      <c r="I40" s="29"/>
      <c r="J40" s="29"/>
      <c r="K40" s="29" t="s">
        <v>32</v>
      </c>
      <c r="L40" s="29"/>
      <c r="M40" s="29"/>
      <c r="N40" s="29"/>
      <c r="O40" s="29"/>
      <c r="P40" s="29"/>
    </row>
    <row r="41" spans="3:25" ht="15.75" x14ac:dyDescent="0.25">
      <c r="D41" s="29" t="s">
        <v>33</v>
      </c>
      <c r="E41" s="29"/>
      <c r="F41" s="29"/>
      <c r="G41" s="29"/>
      <c r="H41" s="29"/>
      <c r="I41" s="29"/>
      <c r="J41" s="29"/>
      <c r="K41" s="29" t="s">
        <v>89</v>
      </c>
      <c r="L41" s="29"/>
      <c r="M41" s="29"/>
      <c r="N41" s="29"/>
      <c r="O41" s="29"/>
      <c r="P41" s="29"/>
    </row>
    <row r="42" spans="3:25" ht="15.75" x14ac:dyDescent="0.25">
      <c r="D42" s="29" t="s">
        <v>86</v>
      </c>
      <c r="E42" s="29"/>
      <c r="F42" s="29"/>
      <c r="G42" s="29"/>
      <c r="H42" s="29"/>
      <c r="I42" s="29"/>
      <c r="J42" s="29"/>
      <c r="K42" s="29" t="s">
        <v>90</v>
      </c>
      <c r="L42" s="29"/>
      <c r="M42" s="29"/>
      <c r="N42" s="29"/>
      <c r="O42" s="29"/>
      <c r="P42" s="29"/>
    </row>
  </sheetData>
  <mergeCells count="14">
    <mergeCell ref="O1:S1"/>
    <mergeCell ref="O8:P8"/>
    <mergeCell ref="C11:D11"/>
    <mergeCell ref="E5:P5"/>
    <mergeCell ref="C6:S6"/>
    <mergeCell ref="C7:C9"/>
    <mergeCell ref="D7:D9"/>
    <mergeCell ref="E7:E8"/>
    <mergeCell ref="F7:P7"/>
    <mergeCell ref="Q7:S7"/>
    <mergeCell ref="G8:H8"/>
    <mergeCell ref="I8:J8"/>
    <mergeCell ref="K8:L8"/>
    <mergeCell ref="M8:N8"/>
  </mergeCells>
  <pageMargins left="0.35433070866141736" right="0.19685039370078741" top="0.24" bottom="0.2" header="0.2" footer="0.2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7"/>
  <sheetViews>
    <sheetView view="pageBreakPreview" zoomScale="60" zoomScaleNormal="100" workbookViewId="0">
      <selection sqref="A1:M17"/>
    </sheetView>
  </sheetViews>
  <sheetFormatPr defaultRowHeight="15" x14ac:dyDescent="0.25"/>
  <cols>
    <col min="4" max="4" width="24.85546875" customWidth="1"/>
    <col min="5" max="5" width="16.42578125" customWidth="1"/>
    <col min="6" max="6" width="23.5703125" customWidth="1"/>
    <col min="7" max="7" width="18.140625" customWidth="1"/>
    <col min="8" max="8" width="19.7109375" customWidth="1"/>
  </cols>
  <sheetData>
    <row r="1" spans="3:11" x14ac:dyDescent="0.25">
      <c r="H1" s="103"/>
    </row>
    <row r="2" spans="3:11" x14ac:dyDescent="0.25">
      <c r="H2" s="103"/>
    </row>
    <row r="3" spans="3:11" x14ac:dyDescent="0.25">
      <c r="H3" s="103"/>
    </row>
    <row r="4" spans="3:11" ht="52.5" customHeight="1" x14ac:dyDescent="0.25">
      <c r="D4" s="81"/>
      <c r="E4" s="169" t="s">
        <v>114</v>
      </c>
      <c r="F4" s="169"/>
      <c r="G4" s="169"/>
      <c r="H4" s="81"/>
    </row>
    <row r="5" spans="3:11" ht="15" customHeight="1" x14ac:dyDescent="0.25">
      <c r="C5" s="172" t="s">
        <v>0</v>
      </c>
      <c r="D5" s="172"/>
      <c r="E5" s="172" t="s">
        <v>5</v>
      </c>
      <c r="F5" s="172" t="s">
        <v>7</v>
      </c>
      <c r="G5" s="170" t="s">
        <v>108</v>
      </c>
      <c r="H5" s="170" t="s">
        <v>8</v>
      </c>
    </row>
    <row r="6" spans="3:11" ht="68.25" customHeight="1" x14ac:dyDescent="0.25">
      <c r="C6" s="172"/>
      <c r="D6" s="172"/>
      <c r="E6" s="172"/>
      <c r="F6" s="172"/>
      <c r="G6" s="171"/>
      <c r="H6" s="171" t="s">
        <v>14</v>
      </c>
    </row>
    <row r="7" spans="3:11" x14ac:dyDescent="0.25">
      <c r="C7" s="172"/>
      <c r="D7" s="172"/>
      <c r="E7" s="87" t="s">
        <v>73</v>
      </c>
      <c r="F7" s="61" t="s">
        <v>21</v>
      </c>
      <c r="G7" s="61" t="s">
        <v>69</v>
      </c>
      <c r="H7" s="61" t="s">
        <v>22</v>
      </c>
    </row>
    <row r="8" spans="3:11" x14ac:dyDescent="0.25">
      <c r="C8" s="131">
        <v>1</v>
      </c>
      <c r="D8" s="61">
        <v>2</v>
      </c>
      <c r="E8" s="61">
        <v>3</v>
      </c>
      <c r="F8" s="61">
        <v>4</v>
      </c>
      <c r="G8" s="61">
        <v>5</v>
      </c>
      <c r="H8" s="61">
        <v>6</v>
      </c>
    </row>
    <row r="9" spans="3:11" ht="30" x14ac:dyDescent="0.25">
      <c r="C9" s="131">
        <v>1</v>
      </c>
      <c r="D9" s="62" t="s">
        <v>105</v>
      </c>
      <c r="E9" s="63">
        <v>82088.100000000006</v>
      </c>
      <c r="F9" s="61">
        <v>3244</v>
      </c>
      <c r="G9" s="61">
        <v>22</v>
      </c>
      <c r="H9" s="64">
        <v>53673424.520000003</v>
      </c>
    </row>
    <row r="11" spans="3:11" x14ac:dyDescent="0.25">
      <c r="D11" s="53" t="s">
        <v>97</v>
      </c>
      <c r="E11" s="53"/>
      <c r="F11" s="54"/>
      <c r="G11" s="54"/>
      <c r="H11" s="56"/>
      <c r="I11" s="55"/>
      <c r="J11" s="56"/>
      <c r="K11" s="57"/>
    </row>
    <row r="12" spans="3:11" x14ac:dyDescent="0.25">
      <c r="D12" s="58" t="s">
        <v>37</v>
      </c>
      <c r="E12" s="59"/>
      <c r="F12" s="59"/>
      <c r="G12" s="59" t="s">
        <v>98</v>
      </c>
      <c r="H12" s="59"/>
      <c r="I12" s="57"/>
      <c r="J12" s="59"/>
      <c r="K12" s="57"/>
    </row>
    <row r="13" spans="3:11" x14ac:dyDescent="0.25">
      <c r="E13" s="53"/>
      <c r="F13" s="53"/>
      <c r="G13" s="54"/>
      <c r="H13" s="56"/>
      <c r="I13" s="55"/>
      <c r="J13" s="56"/>
      <c r="K13" s="57"/>
    </row>
    <row r="14" spans="3:11" x14ac:dyDescent="0.25">
      <c r="E14" s="60"/>
      <c r="F14" s="60"/>
      <c r="G14" s="60"/>
      <c r="H14" s="60"/>
      <c r="I14" s="60"/>
      <c r="J14" s="60"/>
      <c r="K14" s="57"/>
    </row>
    <row r="15" spans="3:11" x14ac:dyDescent="0.25">
      <c r="D15" s="17" t="s">
        <v>32</v>
      </c>
      <c r="E15" s="17"/>
      <c r="F15" s="17"/>
      <c r="G15" s="17" t="s">
        <v>32</v>
      </c>
      <c r="H15" s="17"/>
      <c r="I15" s="57"/>
      <c r="J15" s="57"/>
      <c r="K15" s="57"/>
    </row>
    <row r="16" spans="3:11" x14ac:dyDescent="0.25">
      <c r="D16" s="17" t="s">
        <v>33</v>
      </c>
      <c r="E16" s="17"/>
      <c r="F16" s="17"/>
      <c r="G16" s="17" t="s">
        <v>89</v>
      </c>
      <c r="H16" s="17"/>
      <c r="I16" s="57"/>
      <c r="J16" s="57"/>
      <c r="K16" s="57"/>
    </row>
    <row r="17" spans="4:11" x14ac:dyDescent="0.25">
      <c r="D17" s="17" t="s">
        <v>86</v>
      </c>
      <c r="E17" s="17"/>
      <c r="F17" s="17"/>
      <c r="G17" s="17" t="s">
        <v>91</v>
      </c>
      <c r="H17" s="17"/>
      <c r="I17" s="57"/>
      <c r="J17" s="57"/>
      <c r="K17" s="57"/>
    </row>
  </sheetData>
  <mergeCells count="7">
    <mergeCell ref="E4:G4"/>
    <mergeCell ref="G5:G6"/>
    <mergeCell ref="C5:C7"/>
    <mergeCell ref="H5:H6"/>
    <mergeCell ref="D5:D7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U53"/>
  <sheetViews>
    <sheetView view="pageBreakPreview" topLeftCell="B5" zoomScale="60" zoomScaleNormal="75" workbookViewId="0">
      <selection activeCell="P49" sqref="P49"/>
    </sheetView>
  </sheetViews>
  <sheetFormatPr defaultRowHeight="15" x14ac:dyDescent="0.25"/>
  <cols>
    <col min="4" max="4" width="4.5703125" customWidth="1"/>
    <col min="5" max="5" width="39.7109375" customWidth="1"/>
    <col min="6" max="6" width="12.140625" customWidth="1"/>
    <col min="7" max="7" width="11.7109375" customWidth="1"/>
    <col min="8" max="8" width="12.5703125" customWidth="1"/>
    <col min="9" max="9" width="20.42578125" customWidth="1"/>
    <col min="10" max="11" width="15.5703125" customWidth="1"/>
    <col min="12" max="12" width="15" customWidth="1"/>
    <col min="13" max="14" width="14.85546875" customWidth="1"/>
    <col min="15" max="15" width="15.5703125" customWidth="1"/>
    <col min="16" max="16" width="24.42578125" customWidth="1"/>
    <col min="17" max="17" width="14" customWidth="1"/>
    <col min="18" max="18" width="14.28515625" customWidth="1"/>
    <col min="20" max="20" width="19.140625" customWidth="1"/>
    <col min="21" max="21" width="14.140625" customWidth="1"/>
  </cols>
  <sheetData>
    <row r="1" spans="4:21" x14ac:dyDescent="0.25">
      <c r="O1" s="78"/>
      <c r="P1" s="80"/>
      <c r="Q1" s="80"/>
      <c r="R1" s="80"/>
      <c r="S1" s="80"/>
    </row>
    <row r="2" spans="4:21" x14ac:dyDescent="0.25">
      <c r="O2" s="78"/>
      <c r="P2" s="79"/>
      <c r="Q2" s="79"/>
      <c r="R2" s="79"/>
      <c r="S2" s="79"/>
    </row>
    <row r="3" spans="4:21" x14ac:dyDescent="0.25">
      <c r="N3" s="50"/>
      <c r="O3" s="79"/>
      <c r="P3" s="79"/>
      <c r="Q3" s="79"/>
      <c r="R3" s="79"/>
      <c r="S3" s="79"/>
    </row>
    <row r="4" spans="4:21" x14ac:dyDescent="0.25">
      <c r="N4" s="102"/>
      <c r="O4" s="102"/>
      <c r="P4" s="102"/>
      <c r="Q4" s="102"/>
      <c r="R4" s="102"/>
      <c r="S4" s="102"/>
    </row>
    <row r="5" spans="4:21" x14ac:dyDescent="0.25">
      <c r="N5" s="102"/>
      <c r="O5" s="102"/>
      <c r="P5" s="102"/>
      <c r="Q5" s="102"/>
      <c r="R5" s="102"/>
      <c r="S5" s="102"/>
    </row>
    <row r="6" spans="4:21" x14ac:dyDescent="0.25">
      <c r="N6" s="102"/>
      <c r="O6" s="102"/>
      <c r="P6" s="102"/>
      <c r="Q6" s="102"/>
      <c r="R6" s="102"/>
      <c r="S6" s="102"/>
    </row>
    <row r="7" spans="4:21" x14ac:dyDescent="0.25">
      <c r="N7" s="50"/>
      <c r="O7" s="79"/>
      <c r="P7" s="79"/>
      <c r="Q7" s="79"/>
      <c r="R7" s="79"/>
      <c r="S7" s="79"/>
    </row>
    <row r="8" spans="4:21" ht="48.75" customHeight="1" x14ac:dyDescent="0.25">
      <c r="F8" s="173" t="s">
        <v>115</v>
      </c>
      <c r="G8" s="174"/>
      <c r="H8" s="174"/>
      <c r="I8" s="174"/>
      <c r="J8" s="174"/>
      <c r="K8" s="174"/>
      <c r="L8" s="174"/>
      <c r="M8" s="174"/>
      <c r="N8" s="174"/>
      <c r="O8" s="174"/>
      <c r="P8" s="174"/>
    </row>
    <row r="9" spans="4:21" ht="15.75" x14ac:dyDescent="0.25">
      <c r="D9" s="176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8"/>
      <c r="R9" s="178"/>
      <c r="S9" s="178"/>
    </row>
    <row r="10" spans="4:21" ht="15" customHeight="1" x14ac:dyDescent="0.25">
      <c r="D10" s="143" t="s">
        <v>0</v>
      </c>
      <c r="E10" s="143" t="s">
        <v>25</v>
      </c>
      <c r="F10" s="142" t="s">
        <v>5</v>
      </c>
      <c r="G10" s="143" t="s">
        <v>6</v>
      </c>
      <c r="H10" s="143"/>
      <c r="I10" s="142" t="s">
        <v>74</v>
      </c>
      <c r="J10" s="143" t="s">
        <v>8</v>
      </c>
      <c r="K10" s="143"/>
      <c r="L10" s="143"/>
      <c r="M10" s="143"/>
      <c r="N10" s="143"/>
      <c r="O10" s="142" t="s">
        <v>75</v>
      </c>
      <c r="P10" s="142" t="s">
        <v>76</v>
      </c>
      <c r="Q10" s="142" t="s">
        <v>77</v>
      </c>
      <c r="R10" s="142" t="s">
        <v>78</v>
      </c>
      <c r="S10" s="142" t="s">
        <v>79</v>
      </c>
    </row>
    <row r="11" spans="4:21" ht="15" customHeight="1" x14ac:dyDescent="0.25">
      <c r="D11" s="143"/>
      <c r="E11" s="143"/>
      <c r="F11" s="142"/>
      <c r="G11" s="142" t="s">
        <v>14</v>
      </c>
      <c r="H11" s="142" t="s">
        <v>15</v>
      </c>
      <c r="I11" s="142"/>
      <c r="J11" s="142" t="s">
        <v>14</v>
      </c>
      <c r="K11" s="143" t="s">
        <v>16</v>
      </c>
      <c r="L11" s="143"/>
      <c r="M11" s="143"/>
      <c r="N11" s="143"/>
      <c r="O11" s="142"/>
      <c r="P11" s="142"/>
      <c r="Q11" s="142"/>
      <c r="R11" s="175"/>
      <c r="S11" s="142"/>
    </row>
    <row r="12" spans="4:21" ht="105" customHeight="1" x14ac:dyDescent="0.25">
      <c r="D12" s="143"/>
      <c r="E12" s="143"/>
      <c r="F12" s="142"/>
      <c r="G12" s="142"/>
      <c r="H12" s="142"/>
      <c r="I12" s="142"/>
      <c r="J12" s="142"/>
      <c r="K12" s="84" t="s">
        <v>24</v>
      </c>
      <c r="L12" s="84" t="s">
        <v>17</v>
      </c>
      <c r="M12" s="84" t="s">
        <v>18</v>
      </c>
      <c r="N12" s="84" t="s">
        <v>19</v>
      </c>
      <c r="O12" s="142"/>
      <c r="P12" s="142"/>
      <c r="Q12" s="142"/>
      <c r="R12" s="175"/>
      <c r="S12" s="142"/>
    </row>
    <row r="13" spans="4:21" x14ac:dyDescent="0.25">
      <c r="D13" s="143"/>
      <c r="E13" s="143"/>
      <c r="F13" s="85" t="s">
        <v>20</v>
      </c>
      <c r="G13" s="85" t="s">
        <v>20</v>
      </c>
      <c r="H13" s="85" t="s">
        <v>20</v>
      </c>
      <c r="I13" s="85" t="s">
        <v>21</v>
      </c>
      <c r="J13" s="85" t="s">
        <v>22</v>
      </c>
      <c r="K13" s="85" t="s">
        <v>22</v>
      </c>
      <c r="L13" s="85" t="s">
        <v>22</v>
      </c>
      <c r="M13" s="85" t="s">
        <v>22</v>
      </c>
      <c r="N13" s="85" t="s">
        <v>22</v>
      </c>
      <c r="O13" s="175"/>
      <c r="P13" s="175"/>
      <c r="Q13" s="142"/>
      <c r="R13" s="175"/>
      <c r="S13" s="142"/>
    </row>
    <row r="14" spans="4:21" x14ac:dyDescent="0.25">
      <c r="D14" s="86">
        <v>1</v>
      </c>
      <c r="E14" s="86">
        <v>2</v>
      </c>
      <c r="F14" s="86">
        <v>3</v>
      </c>
      <c r="G14" s="86">
        <v>4</v>
      </c>
      <c r="H14" s="86">
        <v>5</v>
      </c>
      <c r="I14" s="86">
        <v>6</v>
      </c>
      <c r="J14" s="86">
        <v>7</v>
      </c>
      <c r="K14" s="86">
        <v>8</v>
      </c>
      <c r="L14" s="86">
        <v>9</v>
      </c>
      <c r="M14" s="86">
        <v>10</v>
      </c>
      <c r="N14" s="86">
        <v>11</v>
      </c>
      <c r="O14" s="86">
        <v>12</v>
      </c>
      <c r="P14" s="86">
        <v>13</v>
      </c>
      <c r="Q14" s="86">
        <v>14</v>
      </c>
      <c r="R14" s="86">
        <v>15</v>
      </c>
      <c r="S14" s="86">
        <v>16</v>
      </c>
    </row>
    <row r="15" spans="4:21" ht="15" customHeight="1" x14ac:dyDescent="0.25">
      <c r="D15" s="138" t="s">
        <v>38</v>
      </c>
      <c r="E15" s="179"/>
      <c r="F15" s="16">
        <f t="shared" ref="F15:N15" si="0">F35+F41+F44</f>
        <v>82088.100000000006</v>
      </c>
      <c r="G15" s="16">
        <f t="shared" si="0"/>
        <v>76487.500000000015</v>
      </c>
      <c r="H15" s="16">
        <f t="shared" si="0"/>
        <v>67914.7</v>
      </c>
      <c r="I15" s="19">
        <f t="shared" si="0"/>
        <v>3244</v>
      </c>
      <c r="J15" s="16">
        <f t="shared" si="0"/>
        <v>53673424.520000003</v>
      </c>
      <c r="K15" s="16">
        <f t="shared" si="0"/>
        <v>8645446.8800000008</v>
      </c>
      <c r="L15" s="16">
        <f t="shared" si="0"/>
        <v>24877900.59</v>
      </c>
      <c r="M15" s="16">
        <f t="shared" si="0"/>
        <v>12099063.369999999</v>
      </c>
      <c r="N15" s="16">
        <f t="shared" si="0"/>
        <v>8051013.6800000016</v>
      </c>
      <c r="O15" s="16"/>
      <c r="P15" s="104" t="s">
        <v>28</v>
      </c>
      <c r="Q15" s="104"/>
      <c r="R15" s="104"/>
      <c r="S15" s="104" t="s">
        <v>28</v>
      </c>
    </row>
    <row r="16" spans="4:21" ht="15" customHeight="1" x14ac:dyDescent="0.25">
      <c r="D16" s="180" t="s">
        <v>34</v>
      </c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2"/>
      <c r="T16" s="112"/>
      <c r="U16" s="9"/>
    </row>
    <row r="17" spans="4:21" ht="15" customHeight="1" x14ac:dyDescent="0.25">
      <c r="D17" s="3">
        <v>1</v>
      </c>
      <c r="E17" s="115" t="s">
        <v>39</v>
      </c>
      <c r="F17" s="6">
        <v>12728.2</v>
      </c>
      <c r="G17" s="2">
        <v>11595.8</v>
      </c>
      <c r="H17" s="2">
        <f>G17-1701.1</f>
        <v>9894.6999999999989</v>
      </c>
      <c r="I17" s="3">
        <v>490</v>
      </c>
      <c r="J17" s="74">
        <v>9133500</v>
      </c>
      <c r="K17" s="16">
        <f>ROUND((18.95%*(J17-N17)),2)</f>
        <v>1471178.51</v>
      </c>
      <c r="L17" s="16">
        <f>ROUND((54.53%*(J17-N17)),2)</f>
        <v>4233422.92</v>
      </c>
      <c r="M17" s="16">
        <f>ROUND((26.52%*(J17-N17)),2)</f>
        <v>2058873.57</v>
      </c>
      <c r="N17" s="16">
        <f>ROUND((15%*J17/1),2)</f>
        <v>1370025</v>
      </c>
      <c r="O17" s="65"/>
      <c r="P17" s="115" t="s">
        <v>81</v>
      </c>
      <c r="Q17" s="120">
        <v>768848.85</v>
      </c>
      <c r="R17" s="120">
        <v>703138.39</v>
      </c>
      <c r="S17" s="121">
        <v>91</v>
      </c>
      <c r="T17" s="112"/>
      <c r="U17" s="110"/>
    </row>
    <row r="18" spans="4:21" ht="15" customHeight="1" x14ac:dyDescent="0.25">
      <c r="D18" s="3">
        <v>2</v>
      </c>
      <c r="E18" s="115" t="s">
        <v>40</v>
      </c>
      <c r="F18" s="6">
        <v>6546</v>
      </c>
      <c r="G18" s="2">
        <v>6285.7</v>
      </c>
      <c r="H18" s="2">
        <f>G18-605.3</f>
        <v>5680.4</v>
      </c>
      <c r="I18" s="3">
        <v>342</v>
      </c>
      <c r="J18" s="74">
        <v>3044500</v>
      </c>
      <c r="K18" s="16">
        <f t="shared" ref="K18:K34" si="1">ROUND((18.95%*(J18-N18)),2)</f>
        <v>490392.84</v>
      </c>
      <c r="L18" s="16">
        <f>ROUND((54.53%*(J18-N18)),2)-0.01</f>
        <v>1411140.96</v>
      </c>
      <c r="M18" s="16">
        <f>ROUND((26.52%*(J18-N18)),2)+0.01</f>
        <v>686291.2</v>
      </c>
      <c r="N18" s="16">
        <f t="shared" ref="N18:N33" si="2">ROUND((15%*J18/1),2)</f>
        <v>456675</v>
      </c>
      <c r="O18" s="65"/>
      <c r="P18" s="115" t="s">
        <v>81</v>
      </c>
      <c r="Q18" s="120">
        <v>396911.13</v>
      </c>
      <c r="R18" s="120">
        <v>362253.19</v>
      </c>
      <c r="S18" s="121">
        <v>91</v>
      </c>
      <c r="T18" s="112"/>
      <c r="U18" s="110"/>
    </row>
    <row r="19" spans="4:21" ht="15" customHeight="1" x14ac:dyDescent="0.25">
      <c r="D19" s="3">
        <v>3</v>
      </c>
      <c r="E19" s="115" t="s">
        <v>41</v>
      </c>
      <c r="F19" s="6">
        <v>3776.8</v>
      </c>
      <c r="G19" s="2">
        <v>3612.4</v>
      </c>
      <c r="H19" s="2">
        <f>G19-113.1</f>
        <v>3499.3</v>
      </c>
      <c r="I19" s="3">
        <v>142</v>
      </c>
      <c r="J19" s="74">
        <v>3101499.96</v>
      </c>
      <c r="K19" s="16">
        <f t="shared" si="1"/>
        <v>499574.11</v>
      </c>
      <c r="L19" s="16">
        <f t="shared" ref="L19:L33" si="3">ROUND((54.53%*(J19-N19)),2)</f>
        <v>1437560.74</v>
      </c>
      <c r="M19" s="16">
        <f t="shared" ref="M19:M34" si="4">ROUND((26.52%*(J19-N19)),2)</f>
        <v>699140.12</v>
      </c>
      <c r="N19" s="16">
        <f t="shared" si="2"/>
        <v>465224.99</v>
      </c>
      <c r="O19" s="65"/>
      <c r="P19" s="115" t="s">
        <v>81</v>
      </c>
      <c r="Q19" s="120">
        <v>242501.49</v>
      </c>
      <c r="R19" s="120">
        <v>225958.65</v>
      </c>
      <c r="S19" s="121">
        <v>93</v>
      </c>
      <c r="T19" s="112"/>
      <c r="U19" s="110"/>
    </row>
    <row r="20" spans="4:21" ht="15" customHeight="1" x14ac:dyDescent="0.25">
      <c r="D20" s="3">
        <v>4</v>
      </c>
      <c r="E20" s="115" t="s">
        <v>42</v>
      </c>
      <c r="F20" s="122">
        <v>12984.8</v>
      </c>
      <c r="G20" s="123">
        <v>11610</v>
      </c>
      <c r="H20" s="123">
        <f>G20-1380</f>
        <v>10230</v>
      </c>
      <c r="I20" s="123">
        <v>513</v>
      </c>
      <c r="J20" s="74">
        <v>9133500</v>
      </c>
      <c r="K20" s="16">
        <f t="shared" si="1"/>
        <v>1471178.51</v>
      </c>
      <c r="L20" s="16">
        <f t="shared" si="3"/>
        <v>4233422.92</v>
      </c>
      <c r="M20" s="16">
        <f t="shared" si="4"/>
        <v>2058873.57</v>
      </c>
      <c r="N20" s="16">
        <f t="shared" si="2"/>
        <v>1370025</v>
      </c>
      <c r="O20" s="65"/>
      <c r="P20" s="115" t="s">
        <v>81</v>
      </c>
      <c r="Q20" s="120">
        <v>768846.54</v>
      </c>
      <c r="R20" s="120">
        <v>716812.55</v>
      </c>
      <c r="S20" s="121">
        <v>93</v>
      </c>
      <c r="T20" s="112"/>
      <c r="U20" s="110"/>
    </row>
    <row r="21" spans="4:21" ht="15" customHeight="1" x14ac:dyDescent="0.25">
      <c r="D21" s="3">
        <v>5</v>
      </c>
      <c r="E21" s="115" t="s">
        <v>43</v>
      </c>
      <c r="F21" s="124">
        <v>2164</v>
      </c>
      <c r="G21" s="125">
        <v>1939.9</v>
      </c>
      <c r="H21" s="125">
        <f>G21-480.8</f>
        <v>1459.1000000000001</v>
      </c>
      <c r="I21" s="123">
        <v>96</v>
      </c>
      <c r="J21" s="74">
        <v>1522249.99</v>
      </c>
      <c r="K21" s="16">
        <f t="shared" si="1"/>
        <v>245196.42</v>
      </c>
      <c r="L21" s="16">
        <f t="shared" si="3"/>
        <v>705570.48</v>
      </c>
      <c r="M21" s="16">
        <f t="shared" si="4"/>
        <v>343145.59</v>
      </c>
      <c r="N21" s="16">
        <f t="shared" si="2"/>
        <v>228337.5</v>
      </c>
      <c r="O21" s="65"/>
      <c r="P21" s="115" t="s">
        <v>81</v>
      </c>
      <c r="Q21" s="120">
        <v>125165.81</v>
      </c>
      <c r="R21" s="120">
        <v>119044.04</v>
      </c>
      <c r="S21" s="121">
        <v>95</v>
      </c>
      <c r="T21" s="112"/>
      <c r="U21" s="110"/>
    </row>
    <row r="22" spans="4:21" ht="15" customHeight="1" x14ac:dyDescent="0.25">
      <c r="D22" s="3">
        <v>6</v>
      </c>
      <c r="E22" s="126" t="s">
        <v>44</v>
      </c>
      <c r="F22" s="122">
        <v>4328.5</v>
      </c>
      <c r="G22" s="123">
        <v>3866.2</v>
      </c>
      <c r="H22" s="123">
        <f>G22-574.2</f>
        <v>3292</v>
      </c>
      <c r="I22" s="123">
        <v>160</v>
      </c>
      <c r="J22" s="74">
        <v>3044500</v>
      </c>
      <c r="K22" s="16">
        <f t="shared" si="1"/>
        <v>490392.84</v>
      </c>
      <c r="L22" s="16">
        <f>ROUND((54.53%*(J22-N22)),2)-0.01</f>
        <v>1411140.96</v>
      </c>
      <c r="M22" s="16">
        <f>ROUND((26.52%*(J22-N22)),2)+0.01</f>
        <v>686291.2</v>
      </c>
      <c r="N22" s="16">
        <f t="shared" si="2"/>
        <v>456675</v>
      </c>
      <c r="O22" s="65"/>
      <c r="P22" s="115" t="s">
        <v>81</v>
      </c>
      <c r="Q22" s="120">
        <v>247068.67</v>
      </c>
      <c r="R22" s="120">
        <v>224441.67</v>
      </c>
      <c r="S22" s="121">
        <v>91</v>
      </c>
      <c r="T22" s="112"/>
      <c r="U22" s="110"/>
    </row>
    <row r="23" spans="4:21" ht="15" customHeight="1" x14ac:dyDescent="0.25">
      <c r="D23" s="3">
        <v>7</v>
      </c>
      <c r="E23" s="115" t="s">
        <v>45</v>
      </c>
      <c r="F23" s="122">
        <v>746.3</v>
      </c>
      <c r="G23" s="123">
        <v>746.3</v>
      </c>
      <c r="H23" s="123">
        <f>G23-54</f>
        <v>692.3</v>
      </c>
      <c r="I23" s="123">
        <v>34</v>
      </c>
      <c r="J23" s="74">
        <v>601749.04</v>
      </c>
      <c r="K23" s="16">
        <f t="shared" si="1"/>
        <v>96926.73</v>
      </c>
      <c r="L23" s="16">
        <f>ROUND((54.53%*(J23-N23)),2)-0.01</f>
        <v>278913.68</v>
      </c>
      <c r="M23" s="16">
        <f t="shared" si="4"/>
        <v>135646.26999999999</v>
      </c>
      <c r="N23" s="16">
        <f t="shared" si="2"/>
        <v>90262.36</v>
      </c>
      <c r="O23" s="65"/>
      <c r="P23" s="115" t="s">
        <v>81</v>
      </c>
      <c r="Q23" s="120">
        <v>35337.96</v>
      </c>
      <c r="R23" s="120">
        <v>32122.97</v>
      </c>
      <c r="S23" s="121">
        <v>91</v>
      </c>
      <c r="T23" s="114"/>
      <c r="U23" s="110"/>
    </row>
    <row r="24" spans="4:21" ht="15" customHeight="1" x14ac:dyDescent="0.25">
      <c r="D24" s="3">
        <v>8</v>
      </c>
      <c r="E24" s="115" t="s">
        <v>46</v>
      </c>
      <c r="F24" s="122">
        <v>494.5</v>
      </c>
      <c r="G24" s="123">
        <v>447.2</v>
      </c>
      <c r="H24" s="123">
        <f>G24-45.5</f>
        <v>401.7</v>
      </c>
      <c r="I24" s="123">
        <v>22</v>
      </c>
      <c r="J24" s="74">
        <v>662489.5</v>
      </c>
      <c r="K24" s="16">
        <f t="shared" si="1"/>
        <v>106710.5</v>
      </c>
      <c r="L24" s="16">
        <f t="shared" si="3"/>
        <v>307067.19</v>
      </c>
      <c r="M24" s="16">
        <f t="shared" si="4"/>
        <v>149338.38</v>
      </c>
      <c r="N24" s="16">
        <f t="shared" si="2"/>
        <v>99373.43</v>
      </c>
      <c r="O24" s="65"/>
      <c r="P24" s="115" t="s">
        <v>81</v>
      </c>
      <c r="Q24" s="120">
        <v>19837.439999999999</v>
      </c>
      <c r="R24" s="120">
        <v>17958.21</v>
      </c>
      <c r="S24" s="121">
        <v>91</v>
      </c>
      <c r="T24" s="114"/>
      <c r="U24" s="110"/>
    </row>
    <row r="25" spans="4:21" ht="15" customHeight="1" x14ac:dyDescent="0.25">
      <c r="D25" s="3">
        <v>9</v>
      </c>
      <c r="E25" s="115" t="s">
        <v>47</v>
      </c>
      <c r="F25" s="122">
        <f>537.2+50.5</f>
        <v>587.70000000000005</v>
      </c>
      <c r="G25" s="123">
        <v>537.20000000000005</v>
      </c>
      <c r="H25" s="123">
        <f>G25-114.5</f>
        <v>422.70000000000005</v>
      </c>
      <c r="I25" s="123">
        <v>36</v>
      </c>
      <c r="J25" s="74">
        <v>474069.22</v>
      </c>
      <c r="K25" s="16">
        <f t="shared" si="1"/>
        <v>76360.7</v>
      </c>
      <c r="L25" s="16">
        <f t="shared" si="3"/>
        <v>219733.46</v>
      </c>
      <c r="M25" s="16">
        <f t="shared" si="4"/>
        <v>106864.68</v>
      </c>
      <c r="N25" s="16">
        <f t="shared" si="2"/>
        <v>71110.38</v>
      </c>
      <c r="O25" s="65"/>
      <c r="P25" s="115" t="s">
        <v>81</v>
      </c>
      <c r="Q25" s="120">
        <v>21893.759999999998</v>
      </c>
      <c r="R25" s="120">
        <v>20729.400000000001</v>
      </c>
      <c r="S25" s="121">
        <v>95</v>
      </c>
      <c r="T25" s="114"/>
      <c r="U25" s="110"/>
    </row>
    <row r="26" spans="4:21" ht="15" customHeight="1" x14ac:dyDescent="0.25">
      <c r="D26" s="3">
        <v>10</v>
      </c>
      <c r="E26" s="115" t="s">
        <v>48</v>
      </c>
      <c r="F26" s="122">
        <f>534+50.5</f>
        <v>584.5</v>
      </c>
      <c r="G26" s="123">
        <v>534</v>
      </c>
      <c r="H26" s="123">
        <f>G26-179.3</f>
        <v>354.7</v>
      </c>
      <c r="I26" s="123">
        <v>28</v>
      </c>
      <c r="J26" s="74">
        <v>474139.1</v>
      </c>
      <c r="K26" s="16">
        <f t="shared" si="1"/>
        <v>76371.95</v>
      </c>
      <c r="L26" s="16">
        <f t="shared" si="3"/>
        <v>219765.84</v>
      </c>
      <c r="M26" s="16">
        <f>ROUND((26.52%*(J26-N26)),2)+0.01</f>
        <v>106880.43999999999</v>
      </c>
      <c r="N26" s="16">
        <f>ROUND((15%*J26/1),2)</f>
        <v>71120.87</v>
      </c>
      <c r="O26" s="65"/>
      <c r="P26" s="115" t="s">
        <v>81</v>
      </c>
      <c r="Q26" s="120">
        <v>18855.18</v>
      </c>
      <c r="R26" s="120">
        <v>18855.18</v>
      </c>
      <c r="S26" s="121">
        <v>100</v>
      </c>
      <c r="T26" s="114"/>
      <c r="U26" s="110"/>
    </row>
    <row r="27" spans="4:21" ht="15" customHeight="1" x14ac:dyDescent="0.25">
      <c r="D27" s="3">
        <v>11</v>
      </c>
      <c r="E27" s="115" t="s">
        <v>49</v>
      </c>
      <c r="F27" s="122">
        <v>756.3</v>
      </c>
      <c r="G27" s="123">
        <v>756.3</v>
      </c>
      <c r="H27" s="123">
        <f>756.3-269.3</f>
        <v>486.99999999999994</v>
      </c>
      <c r="I27" s="123">
        <v>37</v>
      </c>
      <c r="J27" s="74">
        <v>601748.64</v>
      </c>
      <c r="K27" s="16">
        <f t="shared" si="1"/>
        <v>96926.66</v>
      </c>
      <c r="L27" s="16">
        <f t="shared" si="3"/>
        <v>278913.5</v>
      </c>
      <c r="M27" s="16">
        <f t="shared" si="4"/>
        <v>135646.18</v>
      </c>
      <c r="N27" s="16">
        <f t="shared" si="2"/>
        <v>90262.3</v>
      </c>
      <c r="O27" s="65"/>
      <c r="P27" s="115" t="s">
        <v>81</v>
      </c>
      <c r="Q27" s="120">
        <v>26090.400000000001</v>
      </c>
      <c r="R27" s="120">
        <v>23576</v>
      </c>
      <c r="S27" s="121">
        <v>90</v>
      </c>
      <c r="T27" s="114"/>
      <c r="U27" s="110"/>
    </row>
    <row r="28" spans="4:21" ht="15" customHeight="1" x14ac:dyDescent="0.25">
      <c r="D28" s="3">
        <v>12</v>
      </c>
      <c r="E28" s="115" t="s">
        <v>50</v>
      </c>
      <c r="F28" s="122">
        <f>324.9+25</f>
        <v>349.9</v>
      </c>
      <c r="G28" s="123">
        <v>324.89999999999998</v>
      </c>
      <c r="H28" s="123">
        <f>G28-62</f>
        <v>262.89999999999998</v>
      </c>
      <c r="I28" s="123">
        <v>13</v>
      </c>
      <c r="J28" s="74">
        <v>450532.72</v>
      </c>
      <c r="K28" s="16">
        <f t="shared" si="1"/>
        <v>72569.56</v>
      </c>
      <c r="L28" s="16">
        <f t="shared" si="3"/>
        <v>208824.17</v>
      </c>
      <c r="M28" s="16">
        <f>ROUND((26.52%*(J28-N28)),2)-0.01</f>
        <v>101559.08</v>
      </c>
      <c r="N28" s="16">
        <f t="shared" si="2"/>
        <v>67579.91</v>
      </c>
      <c r="O28" s="65"/>
      <c r="P28" s="115" t="s">
        <v>81</v>
      </c>
      <c r="Q28" s="120">
        <v>13250.16</v>
      </c>
      <c r="R28" s="120">
        <v>13250.16</v>
      </c>
      <c r="S28" s="121">
        <v>100</v>
      </c>
      <c r="T28" s="114"/>
      <c r="U28" s="110"/>
    </row>
    <row r="29" spans="4:21" ht="15" customHeight="1" x14ac:dyDescent="0.25">
      <c r="D29" s="3">
        <v>13</v>
      </c>
      <c r="E29" s="115" t="s">
        <v>51</v>
      </c>
      <c r="F29" s="122">
        <v>664.9</v>
      </c>
      <c r="G29" s="122">
        <v>647.4</v>
      </c>
      <c r="H29" s="122">
        <f>G29-300.7</f>
        <v>346.7</v>
      </c>
      <c r="I29" s="127">
        <v>41</v>
      </c>
      <c r="J29" s="74">
        <v>735522.45</v>
      </c>
      <c r="K29" s="16">
        <f t="shared" si="1"/>
        <v>118474.28</v>
      </c>
      <c r="L29" s="16">
        <f t="shared" si="3"/>
        <v>340918.33</v>
      </c>
      <c r="M29" s="16">
        <f t="shared" si="4"/>
        <v>165801.47</v>
      </c>
      <c r="N29" s="16">
        <f t="shared" si="2"/>
        <v>110328.37</v>
      </c>
      <c r="O29" s="65"/>
      <c r="P29" s="115" t="s">
        <v>81</v>
      </c>
      <c r="Q29" s="120">
        <v>17856.16</v>
      </c>
      <c r="R29" s="120">
        <v>16532.080000000002</v>
      </c>
      <c r="S29" s="121">
        <v>93</v>
      </c>
      <c r="T29" s="112"/>
      <c r="U29" s="110"/>
    </row>
    <row r="30" spans="4:21" ht="15" customHeight="1" x14ac:dyDescent="0.25">
      <c r="D30" s="3">
        <v>14</v>
      </c>
      <c r="E30" s="115" t="s">
        <v>52</v>
      </c>
      <c r="F30" s="122">
        <v>733.9</v>
      </c>
      <c r="G30" s="122">
        <v>718.1</v>
      </c>
      <c r="H30" s="122">
        <f>G30-192.4</f>
        <v>525.70000000000005</v>
      </c>
      <c r="I30" s="127">
        <v>24</v>
      </c>
      <c r="J30" s="74">
        <v>1142347.03</v>
      </c>
      <c r="K30" s="16">
        <f t="shared" si="1"/>
        <v>184003.55</v>
      </c>
      <c r="L30" s="16">
        <f t="shared" si="3"/>
        <v>529483.56000000006</v>
      </c>
      <c r="M30" s="16">
        <f t="shared" si="4"/>
        <v>257507.87</v>
      </c>
      <c r="N30" s="16">
        <f t="shared" si="2"/>
        <v>171352.05</v>
      </c>
      <c r="O30" s="65"/>
      <c r="P30" s="115" t="s">
        <v>85</v>
      </c>
      <c r="Q30" s="120">
        <v>26225.919999999998</v>
      </c>
      <c r="R30" s="120">
        <v>24800.32</v>
      </c>
      <c r="S30" s="121">
        <v>95</v>
      </c>
      <c r="T30" s="112"/>
      <c r="U30" s="110"/>
    </row>
    <row r="31" spans="4:21" ht="15" customHeight="1" x14ac:dyDescent="0.25">
      <c r="D31" s="3">
        <v>15</v>
      </c>
      <c r="E31" s="115" t="s">
        <v>53</v>
      </c>
      <c r="F31" s="122">
        <v>1560.4</v>
      </c>
      <c r="G31" s="122">
        <f>1442+74.8</f>
        <v>1516.8</v>
      </c>
      <c r="H31" s="122">
        <f>G31-209.9</f>
        <v>1306.8999999999999</v>
      </c>
      <c r="I31" s="127">
        <v>59</v>
      </c>
      <c r="J31" s="74">
        <v>1361178.82</v>
      </c>
      <c r="K31" s="16">
        <f t="shared" si="1"/>
        <v>219251.88</v>
      </c>
      <c r="L31" s="16">
        <f t="shared" si="3"/>
        <v>630913.18999999994</v>
      </c>
      <c r="M31" s="16">
        <f t="shared" si="4"/>
        <v>306836.93</v>
      </c>
      <c r="N31" s="16">
        <f t="shared" si="2"/>
        <v>204176.82</v>
      </c>
      <c r="O31" s="65"/>
      <c r="P31" s="115" t="s">
        <v>81</v>
      </c>
      <c r="Q31" s="120">
        <v>56634.8</v>
      </c>
      <c r="R31" s="120">
        <v>52007.199999999997</v>
      </c>
      <c r="S31" s="121">
        <v>92</v>
      </c>
      <c r="T31" s="112"/>
      <c r="U31" s="110"/>
    </row>
    <row r="32" spans="4:21" ht="15" customHeight="1" x14ac:dyDescent="0.25">
      <c r="D32" s="3">
        <v>16</v>
      </c>
      <c r="E32" s="115" t="s">
        <v>54</v>
      </c>
      <c r="F32" s="122">
        <f>9111.2+672.3</f>
        <v>9783.5</v>
      </c>
      <c r="G32" s="122">
        <v>9111.2000000000007</v>
      </c>
      <c r="H32" s="122">
        <f>G32-623.1</f>
        <v>8488.1</v>
      </c>
      <c r="I32" s="127">
        <v>308</v>
      </c>
      <c r="J32" s="74">
        <v>4566750</v>
      </c>
      <c r="K32" s="16">
        <f>ROUND((18.95%*(J32-N32)),2)+0.01</f>
        <v>735589.27</v>
      </c>
      <c r="L32" s="16">
        <f t="shared" si="3"/>
        <v>2116711.46</v>
      </c>
      <c r="M32" s="16">
        <f>ROUND((26.52%*(J32-N32)),2)-0.01</f>
        <v>1029436.78</v>
      </c>
      <c r="N32" s="16">
        <f>ROUND((15%*J32/1),2)-0.01</f>
        <v>685012.49</v>
      </c>
      <c r="O32" s="65"/>
      <c r="P32" s="115" t="s">
        <v>81</v>
      </c>
      <c r="Q32" s="120">
        <v>486948.77</v>
      </c>
      <c r="R32" s="120">
        <v>440363.28</v>
      </c>
      <c r="S32" s="121">
        <v>90</v>
      </c>
      <c r="T32" s="112"/>
      <c r="U32" s="110"/>
    </row>
    <row r="33" spans="4:21" ht="15" customHeight="1" x14ac:dyDescent="0.25">
      <c r="D33" s="3">
        <v>17</v>
      </c>
      <c r="E33" s="115" t="s">
        <v>55</v>
      </c>
      <c r="F33" s="122">
        <v>2402.6999999999998</v>
      </c>
      <c r="G33" s="122">
        <v>2194.1999999999998</v>
      </c>
      <c r="H33" s="122">
        <f>G33-538.7</f>
        <v>1655.4999999999998</v>
      </c>
      <c r="I33" s="127">
        <v>124</v>
      </c>
      <c r="J33" s="74">
        <v>2024367.67</v>
      </c>
      <c r="K33" s="16">
        <f t="shared" si="1"/>
        <v>326075.02</v>
      </c>
      <c r="L33" s="16">
        <f t="shared" si="3"/>
        <v>938304.54</v>
      </c>
      <c r="M33" s="16">
        <f t="shared" si="4"/>
        <v>456332.96</v>
      </c>
      <c r="N33" s="16">
        <f t="shared" si="2"/>
        <v>303655.15000000002</v>
      </c>
      <c r="O33" s="65"/>
      <c r="P33" s="115" t="s">
        <v>81</v>
      </c>
      <c r="Q33" s="120">
        <v>83653.100000000006</v>
      </c>
      <c r="R33" s="120">
        <v>75479.289999999994</v>
      </c>
      <c r="S33" s="121">
        <v>90</v>
      </c>
      <c r="T33" s="112"/>
      <c r="U33" s="110"/>
    </row>
    <row r="34" spans="4:21" ht="15" customHeight="1" x14ac:dyDescent="0.25">
      <c r="D34" s="3">
        <v>18</v>
      </c>
      <c r="E34" s="115" t="s">
        <v>94</v>
      </c>
      <c r="F34" s="122">
        <v>8245.7000000000007</v>
      </c>
      <c r="G34" s="122">
        <v>8102.8</v>
      </c>
      <c r="H34" s="122">
        <v>7570.3</v>
      </c>
      <c r="I34" s="127">
        <v>306</v>
      </c>
      <c r="J34" s="74">
        <v>3300451.03</v>
      </c>
      <c r="K34" s="16">
        <f t="shared" si="1"/>
        <v>531620.15</v>
      </c>
      <c r="L34" s="16">
        <f>ROUND((54.53%*(J34-N34)),2)</f>
        <v>1529775.55</v>
      </c>
      <c r="M34" s="16">
        <f t="shared" si="4"/>
        <v>743987.67</v>
      </c>
      <c r="N34" s="16">
        <f>ROUND((15%*J34/1),2)+0.01</f>
        <v>495067.66000000003</v>
      </c>
      <c r="O34" s="65"/>
      <c r="P34" s="115" t="s">
        <v>81</v>
      </c>
      <c r="Q34" s="120">
        <v>1510797.75</v>
      </c>
      <c r="R34" s="120">
        <v>1442113.79</v>
      </c>
      <c r="S34" s="121">
        <v>95</v>
      </c>
      <c r="T34" s="112"/>
      <c r="U34" s="110"/>
    </row>
    <row r="35" spans="4:21" ht="15" customHeight="1" x14ac:dyDescent="0.25">
      <c r="D35" s="3"/>
      <c r="E35" s="129" t="s">
        <v>109</v>
      </c>
      <c r="F35" s="70">
        <f>SUM(F17:F34)</f>
        <v>69438.600000000006</v>
      </c>
      <c r="G35" s="70">
        <f t="shared" ref="G35:H35" si="5">SUM(G17:G34)</f>
        <v>64546.400000000009</v>
      </c>
      <c r="H35" s="70">
        <f t="shared" si="5"/>
        <v>56569.999999999993</v>
      </c>
      <c r="I35" s="69">
        <f>SUM(I17:I34)</f>
        <v>2775</v>
      </c>
      <c r="J35" s="70">
        <f>SUM(J17:J34)</f>
        <v>45375095.170000002</v>
      </c>
      <c r="K35" s="70">
        <f t="shared" ref="K35:N35" si="6">SUM(K17:K34)</f>
        <v>7308793.4800000004</v>
      </c>
      <c r="L35" s="70">
        <f>SUM(L17:L34)</f>
        <v>21031583.449999999</v>
      </c>
      <c r="M35" s="70">
        <f t="shared" si="6"/>
        <v>10228453.959999999</v>
      </c>
      <c r="N35" s="70">
        <f t="shared" si="6"/>
        <v>6806264.2800000012</v>
      </c>
      <c r="O35" s="70"/>
      <c r="P35" s="18"/>
      <c r="Q35" s="72"/>
      <c r="R35" s="72"/>
      <c r="S35" s="109"/>
      <c r="T35" s="113"/>
      <c r="U35" s="111"/>
    </row>
    <row r="36" spans="4:21" ht="15" customHeight="1" x14ac:dyDescent="0.25">
      <c r="D36" s="183" t="s">
        <v>35</v>
      </c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5"/>
      <c r="T36" s="112"/>
      <c r="U36" s="9"/>
    </row>
    <row r="37" spans="4:21" ht="15" customHeight="1" x14ac:dyDescent="0.25">
      <c r="D37" s="3">
        <v>19</v>
      </c>
      <c r="E37" s="107" t="s">
        <v>56</v>
      </c>
      <c r="F37" s="66">
        <v>1943.5</v>
      </c>
      <c r="G37" s="66">
        <v>1913.3</v>
      </c>
      <c r="H37" s="66">
        <f>G37-117.4</f>
        <v>1795.8999999999999</v>
      </c>
      <c r="I37" s="69">
        <v>97</v>
      </c>
      <c r="J37" s="30">
        <v>1522249.99</v>
      </c>
      <c r="K37" s="16">
        <f>ROUND((18.95%*(J37-N37)),2)</f>
        <v>245196.42</v>
      </c>
      <c r="L37" s="16">
        <f t="shared" ref="L37:L39" si="7">ROUND((54.53%*(J37-N37)),2)</f>
        <v>705570.48</v>
      </c>
      <c r="M37" s="16">
        <f t="shared" ref="M37:M40" si="8">ROUND((26.52%*(J37-N37)),2)</f>
        <v>343145.59</v>
      </c>
      <c r="N37" s="16">
        <f t="shared" ref="N37:N40" si="9">ROUND((15%*J37/1),2)</f>
        <v>228337.5</v>
      </c>
      <c r="O37" s="65"/>
      <c r="P37" s="71" t="s">
        <v>83</v>
      </c>
      <c r="Q37" s="72">
        <v>110602.8</v>
      </c>
      <c r="R37" s="72">
        <v>112594.16</v>
      </c>
      <c r="S37" s="108">
        <v>102</v>
      </c>
      <c r="T37" s="112"/>
      <c r="U37" s="9"/>
    </row>
    <row r="38" spans="4:21" ht="15" customHeight="1" x14ac:dyDescent="0.25">
      <c r="D38" s="3">
        <v>20</v>
      </c>
      <c r="E38" s="107" t="s">
        <v>57</v>
      </c>
      <c r="F38" s="66">
        <f>2345.2+44</f>
        <v>2389.1999999999998</v>
      </c>
      <c r="G38" s="66">
        <v>2345.1999999999998</v>
      </c>
      <c r="H38" s="66">
        <f>G38-0</f>
        <v>2345.1999999999998</v>
      </c>
      <c r="I38" s="69">
        <v>50</v>
      </c>
      <c r="J38" s="30">
        <v>2010316.2</v>
      </c>
      <c r="K38" s="16">
        <f t="shared" ref="K38:K40" si="10">ROUND((18.95%*(J38-N38)),2)</f>
        <v>323811.68</v>
      </c>
      <c r="L38" s="16">
        <f t="shared" si="7"/>
        <v>931791.61</v>
      </c>
      <c r="M38" s="16">
        <f t="shared" si="8"/>
        <v>453165.48</v>
      </c>
      <c r="N38" s="16">
        <f t="shared" si="9"/>
        <v>301547.43</v>
      </c>
      <c r="O38" s="65"/>
      <c r="P38" s="71" t="s">
        <v>82</v>
      </c>
      <c r="Q38" s="72">
        <v>84138.880000000005</v>
      </c>
      <c r="R38" s="72">
        <v>75675.520000000004</v>
      </c>
      <c r="S38" s="33">
        <v>90</v>
      </c>
    </row>
    <row r="39" spans="4:21" ht="15" customHeight="1" x14ac:dyDescent="0.25">
      <c r="D39" s="3">
        <v>21</v>
      </c>
      <c r="E39" s="107" t="s">
        <v>58</v>
      </c>
      <c r="F39" s="66">
        <f>3884.1+164.4</f>
        <v>4048.5</v>
      </c>
      <c r="G39" s="66">
        <v>3884.1</v>
      </c>
      <c r="H39" s="66">
        <f>G39-301.6</f>
        <v>3582.5</v>
      </c>
      <c r="I39" s="69">
        <v>172</v>
      </c>
      <c r="J39" s="30">
        <v>3101499.94</v>
      </c>
      <c r="K39" s="16">
        <f t="shared" si="10"/>
        <v>499574.1</v>
      </c>
      <c r="L39" s="16">
        <f t="shared" si="7"/>
        <v>1437560.73</v>
      </c>
      <c r="M39" s="16">
        <f t="shared" si="8"/>
        <v>699140.12</v>
      </c>
      <c r="N39" s="16">
        <f t="shared" si="9"/>
        <v>465224.99</v>
      </c>
      <c r="O39" s="65"/>
      <c r="P39" s="71" t="s">
        <v>84</v>
      </c>
      <c r="Q39" s="72">
        <v>214816.14</v>
      </c>
      <c r="R39" s="72">
        <v>200661.82</v>
      </c>
      <c r="S39" s="33">
        <v>93</v>
      </c>
    </row>
    <row r="40" spans="4:21" ht="15" customHeight="1" x14ac:dyDescent="0.25">
      <c r="D40" s="3">
        <v>22</v>
      </c>
      <c r="E40" s="107" t="s">
        <v>95</v>
      </c>
      <c r="F40" s="66">
        <f>3798.5+469.8</f>
        <v>4268.3</v>
      </c>
      <c r="G40" s="66">
        <v>3798.5</v>
      </c>
      <c r="H40" s="66">
        <f>G40-177.4</f>
        <v>3621.1</v>
      </c>
      <c r="I40" s="69">
        <v>150</v>
      </c>
      <c r="J40" s="30">
        <v>1664263.22</v>
      </c>
      <c r="K40" s="16">
        <f t="shared" si="10"/>
        <v>268071.2</v>
      </c>
      <c r="L40" s="106">
        <f>ROUND((54.53%*(J40-N40)),2)-0.01</f>
        <v>771394.32</v>
      </c>
      <c r="M40" s="16">
        <f t="shared" si="8"/>
        <v>375158.22</v>
      </c>
      <c r="N40" s="16">
        <f t="shared" si="9"/>
        <v>249639.48</v>
      </c>
      <c r="O40" s="65"/>
      <c r="P40" s="71" t="s">
        <v>96</v>
      </c>
      <c r="Q40" s="72">
        <v>733940.9</v>
      </c>
      <c r="R40" s="72">
        <v>697184</v>
      </c>
      <c r="S40" s="33">
        <v>95</v>
      </c>
    </row>
    <row r="41" spans="4:21" ht="15" customHeight="1" x14ac:dyDescent="0.25">
      <c r="D41" s="3"/>
      <c r="E41" s="129" t="s">
        <v>109</v>
      </c>
      <c r="F41" s="70">
        <f>SUM(F37:F40)</f>
        <v>12649.5</v>
      </c>
      <c r="G41" s="70">
        <f t="shared" ref="G41:H41" si="11">SUM(G37:G40)</f>
        <v>11941.1</v>
      </c>
      <c r="H41" s="70">
        <f t="shared" si="11"/>
        <v>11344.699999999999</v>
      </c>
      <c r="I41" s="69">
        <f>SUM(I37:I40)</f>
        <v>469</v>
      </c>
      <c r="J41" s="70">
        <f>SUM(J37:J40)</f>
        <v>8298329.3499999996</v>
      </c>
      <c r="K41" s="70">
        <f t="shared" ref="K41:N41" si="12">SUM(K37:K40)</f>
        <v>1336653.3999999999</v>
      </c>
      <c r="L41" s="70">
        <f t="shared" si="12"/>
        <v>3846317.1399999997</v>
      </c>
      <c r="M41" s="70">
        <f t="shared" si="12"/>
        <v>1870609.41</v>
      </c>
      <c r="N41" s="70">
        <f t="shared" si="12"/>
        <v>1244749.3999999999</v>
      </c>
      <c r="O41" s="70"/>
      <c r="P41" s="70"/>
      <c r="Q41" s="70"/>
      <c r="R41" s="70"/>
      <c r="S41" s="73"/>
    </row>
    <row r="42" spans="4:21" ht="15" customHeight="1" x14ac:dyDescent="0.25">
      <c r="D42" s="180" t="s">
        <v>36</v>
      </c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</row>
    <row r="43" spans="4:21" ht="15" customHeight="1" x14ac:dyDescent="0.25">
      <c r="D43" s="85"/>
      <c r="E43" s="4"/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1"/>
      <c r="P43" s="85"/>
      <c r="Q43" s="85">
        <v>0</v>
      </c>
      <c r="R43" s="85">
        <v>0</v>
      </c>
      <c r="S43" s="8" t="s">
        <v>80</v>
      </c>
    </row>
    <row r="44" spans="4:21" ht="15" customHeight="1" x14ac:dyDescent="0.25">
      <c r="D44" s="85"/>
      <c r="E44" s="130" t="s">
        <v>109</v>
      </c>
      <c r="F44" s="7">
        <f t="shared" ref="F44:N44" si="13">SUM(F43)</f>
        <v>0</v>
      </c>
      <c r="G44" s="7">
        <f t="shared" si="13"/>
        <v>0</v>
      </c>
      <c r="H44" s="7">
        <f t="shared" si="13"/>
        <v>0</v>
      </c>
      <c r="I44" s="7">
        <f t="shared" si="13"/>
        <v>0</v>
      </c>
      <c r="J44" s="7">
        <f t="shared" si="13"/>
        <v>0</v>
      </c>
      <c r="K44" s="7">
        <f t="shared" si="13"/>
        <v>0</v>
      </c>
      <c r="L44" s="7">
        <f t="shared" si="13"/>
        <v>0</v>
      </c>
      <c r="M44" s="7">
        <f t="shared" si="13"/>
        <v>0</v>
      </c>
      <c r="N44" s="7">
        <f t="shared" si="13"/>
        <v>0</v>
      </c>
      <c r="O44" s="1"/>
      <c r="P44" s="85"/>
      <c r="Q44" s="85">
        <v>0</v>
      </c>
      <c r="R44" s="85">
        <v>0</v>
      </c>
      <c r="S44" s="8" t="s">
        <v>80</v>
      </c>
    </row>
    <row r="46" spans="4:21" x14ac:dyDescent="0.25">
      <c r="S46" s="132" t="s">
        <v>116</v>
      </c>
    </row>
    <row r="47" spans="4:21" ht="15.75" x14ac:dyDescent="0.25">
      <c r="E47" s="23" t="s">
        <v>97</v>
      </c>
      <c r="F47" s="23"/>
      <c r="G47" s="24"/>
      <c r="H47" s="24"/>
      <c r="I47" s="24"/>
      <c r="J47" s="24"/>
      <c r="K47" s="24"/>
      <c r="L47" s="24"/>
      <c r="M47" s="24"/>
      <c r="N47" s="24"/>
      <c r="O47" s="25"/>
      <c r="P47" s="26"/>
      <c r="Q47" s="25"/>
      <c r="R47" s="26"/>
      <c r="S47" s="27"/>
    </row>
    <row r="48" spans="4:21" ht="15.75" x14ac:dyDescent="0.25">
      <c r="E48" s="21" t="s">
        <v>37</v>
      </c>
      <c r="F48" s="22"/>
      <c r="G48" s="22"/>
      <c r="H48" s="22"/>
      <c r="I48" s="22"/>
      <c r="J48" s="22"/>
      <c r="K48" s="22"/>
      <c r="L48" s="22" t="s">
        <v>98</v>
      </c>
      <c r="M48" s="22"/>
      <c r="N48" s="22"/>
      <c r="O48" s="22"/>
      <c r="P48" s="22"/>
      <c r="R48" s="22"/>
      <c r="S48" s="128"/>
    </row>
    <row r="49" spans="5:19" ht="15.75" x14ac:dyDescent="0.25">
      <c r="E49" s="23"/>
      <c r="F49" s="23"/>
      <c r="G49" s="24"/>
      <c r="H49" s="24"/>
      <c r="I49" s="24"/>
      <c r="J49" s="24"/>
      <c r="K49" s="24"/>
      <c r="L49" s="24"/>
      <c r="M49" s="24"/>
      <c r="N49" s="24"/>
      <c r="O49" s="25"/>
      <c r="P49" s="26"/>
      <c r="Q49" s="25"/>
      <c r="R49" s="26"/>
      <c r="S49" s="27"/>
    </row>
    <row r="50" spans="5:19" ht="15.75" x14ac:dyDescent="0.25"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</row>
    <row r="51" spans="5:19" ht="15.75" x14ac:dyDescent="0.25">
      <c r="E51" s="29" t="s">
        <v>32</v>
      </c>
      <c r="F51" s="29"/>
      <c r="G51" s="29"/>
      <c r="H51" s="29"/>
      <c r="I51" s="29"/>
      <c r="J51" s="29"/>
      <c r="K51" s="29"/>
      <c r="L51" s="29"/>
      <c r="M51" s="29"/>
      <c r="N51" s="29" t="s">
        <v>32</v>
      </c>
      <c r="O51" s="29"/>
      <c r="P51" s="29"/>
      <c r="Q51" s="29"/>
      <c r="R51" s="29"/>
      <c r="S51" s="29"/>
    </row>
    <row r="52" spans="5:19" ht="15.75" x14ac:dyDescent="0.25">
      <c r="E52" s="29" t="s">
        <v>33</v>
      </c>
      <c r="F52" s="29"/>
      <c r="G52" s="29"/>
      <c r="H52" s="29"/>
      <c r="I52" s="29"/>
      <c r="J52" s="29"/>
      <c r="K52" s="29"/>
      <c r="L52" s="29"/>
      <c r="M52" s="29"/>
      <c r="N52" s="29" t="s">
        <v>89</v>
      </c>
      <c r="O52" s="29"/>
      <c r="P52" s="29"/>
      <c r="Q52" s="29"/>
      <c r="R52" s="29"/>
      <c r="S52" s="29"/>
    </row>
    <row r="53" spans="5:19" ht="15.75" x14ac:dyDescent="0.25">
      <c r="E53" s="29" t="s">
        <v>86</v>
      </c>
      <c r="F53" s="29"/>
      <c r="G53" s="29"/>
      <c r="H53" s="29"/>
      <c r="I53" s="29"/>
      <c r="J53" s="29"/>
      <c r="K53" s="29"/>
      <c r="L53" s="29"/>
      <c r="M53" s="29"/>
      <c r="N53" s="29" t="s">
        <v>90</v>
      </c>
      <c r="O53" s="29"/>
      <c r="P53" s="29"/>
      <c r="Q53" s="29"/>
      <c r="R53" s="29"/>
      <c r="S53" s="29"/>
    </row>
  </sheetData>
  <mergeCells count="21">
    <mergeCell ref="D15:E15"/>
    <mergeCell ref="D16:S16"/>
    <mergeCell ref="D36:S36"/>
    <mergeCell ref="D42:S42"/>
    <mergeCell ref="Q10:Q13"/>
    <mergeCell ref="R10:R13"/>
    <mergeCell ref="S10:S13"/>
    <mergeCell ref="G11:G12"/>
    <mergeCell ref="H11:H12"/>
    <mergeCell ref="J11:J12"/>
    <mergeCell ref="K11:N11"/>
    <mergeCell ref="D10:D13"/>
    <mergeCell ref="F8:P8"/>
    <mergeCell ref="O10:O13"/>
    <mergeCell ref="P10:P13"/>
    <mergeCell ref="E10:E13"/>
    <mergeCell ref="F10:F12"/>
    <mergeCell ref="G10:H10"/>
    <mergeCell ref="I10:I12"/>
    <mergeCell ref="J10:N10"/>
    <mergeCell ref="D9:S9"/>
  </mergeCells>
  <pageMargins left="0.27559055118110237" right="0.19685039370078741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2 ч.1</vt:lpstr>
      <vt:lpstr>Приложение 2 ч.2</vt:lpstr>
      <vt:lpstr>Приложение 2 ч.3</vt:lpstr>
      <vt:lpstr>Приложение по 126 пп</vt:lpstr>
      <vt:lpstr>'Приложение 2 ч.1'!Область_печати</vt:lpstr>
      <vt:lpstr>'Приложение 2 ч.2'!Область_печати</vt:lpstr>
      <vt:lpstr>'Приложение 2 ч.3'!Область_печати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Геннадьевна Мунина</dc:creator>
  <cp:lastModifiedBy>Екатерина И. Ким</cp:lastModifiedBy>
  <cp:lastPrinted>2017-10-06T06:03:52Z</cp:lastPrinted>
  <dcterms:created xsi:type="dcterms:W3CDTF">2014-05-06T05:36:05Z</dcterms:created>
  <dcterms:modified xsi:type="dcterms:W3CDTF">2017-10-26T11:54:33Z</dcterms:modified>
</cp:coreProperties>
</file>